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10" windowWidth="14810" windowHeight="8010"/>
  </bookViews>
  <sheets>
    <sheet name="INTRO" sheetId="5" r:id="rId1"/>
    <sheet name="Prod &amp; Usage Graphs" sheetId="1" r:id="rId2"/>
    <sheet name="Utility Graphs" sheetId="8" r:id="rId3"/>
    <sheet name="Annual Graphs" sheetId="9" r:id="rId4"/>
    <sheet name="Cost &amp; Payback" sheetId="3" r:id="rId5"/>
    <sheet name="Pred Prod" sheetId="2" r:id="rId6"/>
    <sheet name="Elec &amp; Gas Data" sheetId="4" r:id="rId7"/>
    <sheet name="2025 Data" sheetId="14" r:id="rId8"/>
    <sheet name="2024 Data" sheetId="13" r:id="rId9"/>
    <sheet name="2023 Data" sheetId="12" r:id="rId10"/>
    <sheet name="2020-2023 Data" sheetId="10" r:id="rId11"/>
  </sheets>
  <calcPr calcId="125725"/>
</workbook>
</file>

<file path=xl/calcChain.xml><?xml version="1.0" encoding="utf-8"?>
<calcChain xmlns="http://schemas.openxmlformats.org/spreadsheetml/2006/main">
  <c r="H32" i="4"/>
  <c r="C8"/>
  <c r="B8"/>
  <c r="B7"/>
  <c r="I33"/>
  <c r="F34"/>
  <c r="E34"/>
  <c r="D34"/>
  <c r="C34"/>
  <c r="H31"/>
  <c r="H30"/>
  <c r="H29"/>
  <c r="H28"/>
  <c r="H27"/>
  <c r="H26"/>
  <c r="H25"/>
  <c r="H24"/>
  <c r="H23"/>
  <c r="H22"/>
  <c r="H21"/>
  <c r="H20"/>
  <c r="H19"/>
  <c r="H18"/>
  <c r="H17"/>
  <c r="H16"/>
  <c r="H15"/>
  <c r="E19" i="10"/>
  <c r="H21" i="14"/>
  <c r="G21"/>
  <c r="E21"/>
  <c r="K20"/>
  <c r="I20"/>
  <c r="H20"/>
  <c r="D20"/>
  <c r="C20"/>
  <c r="B20"/>
  <c r="Q19"/>
  <c r="O19"/>
  <c r="M19"/>
  <c r="N19" s="1"/>
  <c r="L19"/>
  <c r="J19"/>
  <c r="Q18"/>
  <c r="N18"/>
  <c r="M18"/>
  <c r="L18"/>
  <c r="J18"/>
  <c r="O18" s="1"/>
  <c r="Q17"/>
  <c r="O17"/>
  <c r="N17"/>
  <c r="M17"/>
  <c r="L17"/>
  <c r="J17"/>
  <c r="Q16"/>
  <c r="M16"/>
  <c r="L16"/>
  <c r="N16" s="1"/>
  <c r="J16"/>
  <c r="O16" s="1"/>
  <c r="Q15"/>
  <c r="N15"/>
  <c r="M15"/>
  <c r="L15"/>
  <c r="J15"/>
  <c r="O15" s="1"/>
  <c r="Q14"/>
  <c r="O14"/>
  <c r="N14"/>
  <c r="M14"/>
  <c r="L14"/>
  <c r="J14"/>
  <c r="Q13"/>
  <c r="M13"/>
  <c r="L13"/>
  <c r="J13"/>
  <c r="O13" s="1"/>
  <c r="Q12"/>
  <c r="O12"/>
  <c r="N12"/>
  <c r="M12"/>
  <c r="L12"/>
  <c r="J12"/>
  <c r="Q11"/>
  <c r="M11"/>
  <c r="L11"/>
  <c r="N11" s="1"/>
  <c r="J11"/>
  <c r="O11" s="1"/>
  <c r="N10"/>
  <c r="M10"/>
  <c r="L10"/>
  <c r="J10"/>
  <c r="O10" s="1"/>
  <c r="N9"/>
  <c r="M9"/>
  <c r="L9"/>
  <c r="J9"/>
  <c r="O9" s="1"/>
  <c r="Q8"/>
  <c r="M8"/>
  <c r="L8"/>
  <c r="N8" s="1"/>
  <c r="J8"/>
  <c r="O8" s="1"/>
  <c r="H21" i="13"/>
  <c r="G21"/>
  <c r="E21"/>
  <c r="Q20"/>
  <c r="K20"/>
  <c r="I20"/>
  <c r="H20"/>
  <c r="D20"/>
  <c r="C20"/>
  <c r="B20"/>
  <c r="A20"/>
  <c r="A20" i="14" s="1"/>
  <c r="Q19" i="13"/>
  <c r="O19"/>
  <c r="N19"/>
  <c r="M19"/>
  <c r="L19"/>
  <c r="J19"/>
  <c r="Q18"/>
  <c r="O18"/>
  <c r="M18"/>
  <c r="N18" s="1"/>
  <c r="L18"/>
  <c r="J18"/>
  <c r="Q17"/>
  <c r="M17"/>
  <c r="L17"/>
  <c r="N17" s="1"/>
  <c r="J17"/>
  <c r="O17" s="1"/>
  <c r="Q16"/>
  <c r="O16"/>
  <c r="N16"/>
  <c r="M16"/>
  <c r="L16"/>
  <c r="J16"/>
  <c r="Q15"/>
  <c r="N15"/>
  <c r="M15"/>
  <c r="L15"/>
  <c r="J15"/>
  <c r="O15" s="1"/>
  <c r="Q14"/>
  <c r="O14"/>
  <c r="N14"/>
  <c r="M14"/>
  <c r="L14"/>
  <c r="J14"/>
  <c r="Q13"/>
  <c r="M13"/>
  <c r="L13"/>
  <c r="J13"/>
  <c r="O13" s="1"/>
  <c r="Q12"/>
  <c r="M12"/>
  <c r="L12"/>
  <c r="N12" s="1"/>
  <c r="J12"/>
  <c r="O12" s="1"/>
  <c r="Q11"/>
  <c r="O11"/>
  <c r="M11"/>
  <c r="L11"/>
  <c r="N11" s="1"/>
  <c r="J11"/>
  <c r="O10"/>
  <c r="N10"/>
  <c r="M10"/>
  <c r="L10"/>
  <c r="J10"/>
  <c r="O9"/>
  <c r="N9"/>
  <c r="M9"/>
  <c r="L9"/>
  <c r="J9"/>
  <c r="Q8"/>
  <c r="M8"/>
  <c r="L8"/>
  <c r="J8"/>
  <c r="O8" s="1"/>
  <c r="Q8" i="12"/>
  <c r="Q9"/>
  <c r="Q10"/>
  <c r="Q11"/>
  <c r="Q12"/>
  <c r="Q13"/>
  <c r="Q14"/>
  <c r="Q15"/>
  <c r="J16"/>
  <c r="O16" s="1"/>
  <c r="L16"/>
  <c r="N16" s="1"/>
  <c r="M16"/>
  <c r="Q16"/>
  <c r="J17"/>
  <c r="O17" s="1"/>
  <c r="L17"/>
  <c r="N17" s="1"/>
  <c r="M17"/>
  <c r="Q17"/>
  <c r="J18"/>
  <c r="O18" s="1"/>
  <c r="L18"/>
  <c r="M18"/>
  <c r="Q18"/>
  <c r="J19"/>
  <c r="O19" s="1"/>
  <c r="L19"/>
  <c r="M19"/>
  <c r="Q19"/>
  <c r="H20"/>
  <c r="J20" s="1"/>
  <c r="I20"/>
  <c r="K20"/>
  <c r="Q20"/>
  <c r="G21"/>
  <c r="X17" i="10"/>
  <c r="W17"/>
  <c r="V17"/>
  <c r="U17"/>
  <c r="P17"/>
  <c r="O17"/>
  <c r="N17"/>
  <c r="N19" s="1"/>
  <c r="K17"/>
  <c r="K19" s="1"/>
  <c r="J17"/>
  <c r="I17"/>
  <c r="C29" i="4" s="1"/>
  <c r="H17" i="10"/>
  <c r="H19" s="1"/>
  <c r="E17"/>
  <c r="D17"/>
  <c r="C17"/>
  <c r="B17"/>
  <c r="B19" s="1"/>
  <c r="Q16"/>
  <c r="Q15"/>
  <c r="Q14"/>
  <c r="W43" i="3"/>
  <c r="S18"/>
  <c r="R18"/>
  <c r="A18"/>
  <c r="M26"/>
  <c r="H24"/>
  <c r="H26"/>
  <c r="E26"/>
  <c r="G26" s="1"/>
  <c r="U26"/>
  <c r="R43"/>
  <c r="R44" s="1"/>
  <c r="F31" i="4"/>
  <c r="N20" i="14" l="1"/>
  <c r="O20"/>
  <c r="N13"/>
  <c r="M20"/>
  <c r="E20" s="1"/>
  <c r="M20" i="13"/>
  <c r="E20" s="1"/>
  <c r="N8"/>
  <c r="N20" s="1"/>
  <c r="O20"/>
  <c r="N13"/>
  <c r="Q20" i="14"/>
  <c r="N19" i="12"/>
  <c r="L20" i="14"/>
  <c r="J20"/>
  <c r="L20" i="13"/>
  <c r="J20"/>
  <c r="G31" i="4" s="1"/>
  <c r="N18" i="12"/>
  <c r="O20"/>
  <c r="M20"/>
  <c r="E20"/>
  <c r="L20"/>
  <c r="Q17" i="10"/>
  <c r="I26" i="3"/>
  <c r="J26"/>
  <c r="R45"/>
  <c r="U17"/>
  <c r="A36"/>
  <c r="Q18"/>
  <c r="A37" s="1"/>
  <c r="T18"/>
  <c r="A39"/>
  <c r="N20" i="12" l="1"/>
  <c r="R58" i="3"/>
  <c r="R72"/>
  <c r="R66"/>
  <c r="R65"/>
  <c r="R64"/>
  <c r="R57"/>
  <c r="R56"/>
  <c r="R51"/>
  <c r="R55"/>
  <c r="R71"/>
  <c r="R54"/>
  <c r="R70"/>
  <c r="R53"/>
  <c r="R69"/>
  <c r="R52"/>
  <c r="R68"/>
  <c r="R67"/>
  <c r="R50"/>
  <c r="R49"/>
  <c r="R48"/>
  <c r="R47"/>
  <c r="R63"/>
  <c r="R46"/>
  <c r="R62"/>
  <c r="R61"/>
  <c r="R60"/>
  <c r="R59"/>
  <c r="B18"/>
  <c r="U28"/>
  <c r="U27"/>
  <c r="U25"/>
  <c r="U24"/>
  <c r="U22"/>
  <c r="V18" s="1"/>
  <c r="U21"/>
  <c r="U23"/>
  <c r="U20"/>
  <c r="C18"/>
  <c r="N72"/>
  <c r="N71"/>
  <c r="N70"/>
  <c r="N69"/>
  <c r="N68"/>
  <c r="K46" i="2"/>
  <c r="K45"/>
  <c r="K44"/>
  <c r="K43"/>
  <c r="K42"/>
  <c r="K41"/>
  <c r="K40"/>
  <c r="K39"/>
  <c r="K38"/>
  <c r="K37"/>
  <c r="K36"/>
  <c r="K35"/>
  <c r="K34"/>
  <c r="J46"/>
  <c r="J45"/>
  <c r="J44"/>
  <c r="J43"/>
  <c r="J42"/>
  <c r="J41"/>
  <c r="J40"/>
  <c r="J39"/>
  <c r="J38"/>
  <c r="J37"/>
  <c r="J36"/>
  <c r="J35"/>
  <c r="J34"/>
  <c r="I46"/>
  <c r="I45"/>
  <c r="I44"/>
  <c r="I43"/>
  <c r="I42"/>
  <c r="I41"/>
  <c r="I40"/>
  <c r="I39"/>
  <c r="I38"/>
  <c r="I37"/>
  <c r="I36"/>
  <c r="I35"/>
  <c r="I34"/>
  <c r="H46"/>
  <c r="H45"/>
  <c r="H44"/>
  <c r="H43"/>
  <c r="H42"/>
  <c r="H41"/>
  <c r="H40"/>
  <c r="H39"/>
  <c r="H38"/>
  <c r="H37"/>
  <c r="H36"/>
  <c r="H35"/>
  <c r="H34"/>
  <c r="G46"/>
  <c r="G45"/>
  <c r="G44"/>
  <c r="G43"/>
  <c r="G42"/>
  <c r="G41"/>
  <c r="G40"/>
  <c r="G39"/>
  <c r="G38"/>
  <c r="G37"/>
  <c r="G36"/>
  <c r="G35"/>
  <c r="G34"/>
  <c r="F46"/>
  <c r="F45"/>
  <c r="F44"/>
  <c r="F43"/>
  <c r="F42"/>
  <c r="F41"/>
  <c r="F40"/>
  <c r="F39"/>
  <c r="F38"/>
  <c r="F37"/>
  <c r="F36"/>
  <c r="F35"/>
  <c r="F34"/>
  <c r="E45"/>
  <c r="E44"/>
  <c r="E43"/>
  <c r="E42"/>
  <c r="E41"/>
  <c r="E40"/>
  <c r="E39"/>
  <c r="E38"/>
  <c r="E37"/>
  <c r="E36"/>
  <c r="E35"/>
  <c r="E34"/>
  <c r="D39"/>
  <c r="D45"/>
  <c r="D44"/>
  <c r="D43"/>
  <c r="D42"/>
  <c r="D41"/>
  <c r="D40"/>
  <c r="D38"/>
  <c r="D37"/>
  <c r="D36"/>
  <c r="D35"/>
  <c r="D34"/>
  <c r="C44"/>
  <c r="C42"/>
  <c r="C39"/>
  <c r="C37"/>
  <c r="C35"/>
  <c r="C45"/>
  <c r="C43"/>
  <c r="C41"/>
  <c r="C40"/>
  <c r="C38"/>
  <c r="C36"/>
  <c r="C34"/>
  <c r="B11"/>
  <c r="B25"/>
  <c r="B24"/>
  <c r="B23"/>
  <c r="B22"/>
  <c r="B21"/>
  <c r="B20"/>
  <c r="B19"/>
  <c r="B18"/>
  <c r="B17"/>
  <c r="B16"/>
  <c r="B15"/>
  <c r="B14"/>
  <c r="K26"/>
  <c r="J26"/>
  <c r="I26"/>
  <c r="H26"/>
  <c r="G26"/>
  <c r="F26"/>
  <c r="D18" i="3"/>
  <c r="N18"/>
  <c r="K18"/>
  <c r="F18"/>
  <c r="H20"/>
  <c r="H21"/>
  <c r="H23"/>
  <c r="M28"/>
  <c r="J28"/>
  <c r="I28"/>
  <c r="H28"/>
  <c r="H27"/>
  <c r="H25"/>
  <c r="H22"/>
  <c r="M27"/>
  <c r="M25"/>
  <c r="M24"/>
  <c r="M22"/>
  <c r="M21"/>
  <c r="M23"/>
  <c r="G14" i="12" l="1"/>
  <c r="G14" i="14"/>
  <c r="G14" i="13"/>
  <c r="G13"/>
  <c r="G13" i="14"/>
  <c r="G13" i="12"/>
  <c r="G16"/>
  <c r="G16" i="14"/>
  <c r="G16" i="13"/>
  <c r="G12" i="14"/>
  <c r="G12" i="12"/>
  <c r="G12" i="13"/>
  <c r="G11" i="12"/>
  <c r="G11" i="13"/>
  <c r="G11" i="14"/>
  <c r="G19" i="13"/>
  <c r="G19" i="12"/>
  <c r="G19" i="14"/>
  <c r="G18" i="13"/>
  <c r="G18" i="14"/>
  <c r="G18" i="12"/>
  <c r="G17"/>
  <c r="G17" i="14"/>
  <c r="G17" i="13"/>
  <c r="G10"/>
  <c r="G10" i="12"/>
  <c r="G10" i="14"/>
  <c r="G15"/>
  <c r="G15" i="12"/>
  <c r="G15" i="13"/>
  <c r="G9" i="12"/>
  <c r="G9" i="14"/>
  <c r="G9" i="13"/>
  <c r="G8"/>
  <c r="G8" i="14"/>
  <c r="G8" i="12"/>
  <c r="U18" i="3"/>
  <c r="B45" i="2"/>
  <c r="B34"/>
  <c r="B44"/>
  <c r="B36"/>
  <c r="B35"/>
  <c r="B41"/>
  <c r="B40"/>
  <c r="B43"/>
  <c r="B42"/>
  <c r="B39"/>
  <c r="B38"/>
  <c r="B37"/>
  <c r="E18" i="3"/>
  <c r="H18"/>
  <c r="G20" l="1"/>
  <c r="E28"/>
  <c r="G28" s="1"/>
  <c r="E27"/>
  <c r="G27" s="1"/>
  <c r="E25"/>
  <c r="G25" s="1"/>
  <c r="E24"/>
  <c r="G24" s="1"/>
  <c r="E22"/>
  <c r="G22" s="1"/>
  <c r="E21"/>
  <c r="G21" s="1"/>
  <c r="E23"/>
  <c r="G23" s="1"/>
  <c r="E20"/>
  <c r="D26" i="2"/>
  <c r="C26"/>
  <c r="D46" s="1"/>
  <c r="E26"/>
  <c r="E46" s="1"/>
  <c r="B31" i="4"/>
  <c r="C31"/>
  <c r="D31"/>
  <c r="D30"/>
  <c r="C30"/>
  <c r="S43" i="3"/>
  <c r="L20" s="1"/>
  <c r="D28" i="4"/>
  <c r="C28"/>
  <c r="D29"/>
  <c r="G30"/>
  <c r="E28"/>
  <c r="E29"/>
  <c r="B29" l="1"/>
  <c r="B30"/>
  <c r="B28"/>
  <c r="M20" i="3"/>
  <c r="L18"/>
  <c r="M18" s="1"/>
  <c r="B26" i="2"/>
  <c r="C46"/>
  <c r="I20" i="3"/>
  <c r="J20"/>
  <c r="J25"/>
  <c r="I25"/>
  <c r="I24"/>
  <c r="J24"/>
  <c r="I21"/>
  <c r="J21"/>
  <c r="J27"/>
  <c r="I27"/>
  <c r="I22"/>
  <c r="J22"/>
  <c r="J23"/>
  <c r="I23"/>
  <c r="G18"/>
  <c r="B46" i="2" l="1"/>
  <c r="G20" i="14"/>
  <c r="G20" i="13"/>
  <c r="G20" i="12"/>
  <c r="E30" i="4"/>
  <c r="A31" i="3"/>
  <c r="B43" s="1"/>
  <c r="I18"/>
  <c r="J18"/>
  <c r="N67"/>
  <c r="N66"/>
  <c r="N65"/>
  <c r="N64"/>
  <c r="N63"/>
  <c r="N62"/>
  <c r="N61"/>
  <c r="N60"/>
  <c r="N59"/>
  <c r="N58"/>
  <c r="N57"/>
  <c r="N56"/>
  <c r="N55"/>
  <c r="N54"/>
  <c r="N53"/>
  <c r="N52"/>
  <c r="N51"/>
  <c r="N50"/>
  <c r="N49"/>
  <c r="N48"/>
  <c r="N47"/>
  <c r="N46"/>
  <c r="N45"/>
  <c r="N44"/>
  <c r="N43"/>
  <c r="A33"/>
  <c r="S44" s="1"/>
  <c r="A32"/>
  <c r="D43" s="1"/>
  <c r="D44" l="1"/>
  <c r="T44"/>
  <c r="S45"/>
  <c r="T45" s="1"/>
  <c r="W70"/>
  <c r="W54"/>
  <c r="W71"/>
  <c r="W55"/>
  <c r="W72"/>
  <c r="W56"/>
  <c r="H43"/>
  <c r="W52"/>
  <c r="W59"/>
  <c r="W44"/>
  <c r="W57"/>
  <c r="W58"/>
  <c r="W68"/>
  <c r="W60"/>
  <c r="W61"/>
  <c r="W45"/>
  <c r="W64"/>
  <c r="W51"/>
  <c r="W53"/>
  <c r="W62"/>
  <c r="W46"/>
  <c r="W69"/>
  <c r="W63"/>
  <c r="W47"/>
  <c r="W48"/>
  <c r="W66"/>
  <c r="W65"/>
  <c r="W49"/>
  <c r="W50"/>
  <c r="W67"/>
  <c r="A8"/>
  <c r="S46" l="1"/>
  <c r="D45"/>
  <c r="A9"/>
  <c r="A11" s="1"/>
  <c r="S47" l="1"/>
  <c r="T46"/>
  <c r="D46"/>
  <c r="S48" l="1"/>
  <c r="T47"/>
  <c r="D47"/>
  <c r="S49" l="1"/>
  <c r="T48"/>
  <c r="D48"/>
  <c r="S50" l="1"/>
  <c r="T50" s="1"/>
  <c r="T49"/>
  <c r="D49"/>
  <c r="D50" l="1"/>
  <c r="D51" s="1"/>
  <c r="S51"/>
  <c r="S52" l="1"/>
  <c r="T51"/>
  <c r="S53" l="1"/>
  <c r="D52"/>
  <c r="T52"/>
  <c r="S54" l="1"/>
  <c r="T53"/>
  <c r="D53"/>
  <c r="S55" l="1"/>
  <c r="T54"/>
  <c r="D54"/>
  <c r="S56" l="1"/>
  <c r="T56" s="1"/>
  <c r="T55"/>
  <c r="D55"/>
  <c r="S57" l="1"/>
  <c r="D56"/>
  <c r="S58" l="1"/>
  <c r="T57"/>
  <c r="D57"/>
  <c r="S59" l="1"/>
  <c r="T58"/>
  <c r="D58"/>
  <c r="S60" l="1"/>
  <c r="T59"/>
  <c r="D59"/>
  <c r="S61" l="1"/>
  <c r="T60"/>
  <c r="D60"/>
  <c r="D61" l="1"/>
  <c r="S62"/>
  <c r="T62" s="1"/>
  <c r="T61"/>
  <c r="D62" l="1"/>
  <c r="S63"/>
  <c r="S64" l="1"/>
  <c r="T63"/>
  <c r="D63"/>
  <c r="S65" l="1"/>
  <c r="T64"/>
  <c r="D64"/>
  <c r="S66" l="1"/>
  <c r="T66" s="1"/>
  <c r="T65"/>
  <c r="D65"/>
  <c r="S67" l="1"/>
  <c r="T67" s="1"/>
  <c r="D66"/>
  <c r="S68" l="1"/>
  <c r="D67"/>
  <c r="S69" l="1"/>
  <c r="T68"/>
  <c r="D68"/>
  <c r="S70" l="1"/>
  <c r="T70" s="1"/>
  <c r="T69"/>
  <c r="D69"/>
  <c r="P43" l="1"/>
  <c r="Q43" s="1"/>
  <c r="E31" i="4"/>
  <c r="U43" i="3"/>
  <c r="U44" s="1"/>
  <c r="S71"/>
  <c r="D70"/>
  <c r="C7" i="4"/>
  <c r="F30"/>
  <c r="D8"/>
  <c r="Q44" i="3" l="1"/>
  <c r="V44"/>
  <c r="U45"/>
  <c r="U46" s="1"/>
  <c r="O20"/>
  <c r="O18" s="1"/>
  <c r="A34" s="1"/>
  <c r="P20"/>
  <c r="P18" s="1"/>
  <c r="A35" s="1"/>
  <c r="C43" s="1"/>
  <c r="E43" s="1"/>
  <c r="P44"/>
  <c r="S72"/>
  <c r="T72" s="1"/>
  <c r="T71"/>
  <c r="D71"/>
  <c r="D7" i="4"/>
  <c r="V46" i="3" l="1"/>
  <c r="U47"/>
  <c r="F47" s="1"/>
  <c r="V45"/>
  <c r="F46"/>
  <c r="F43"/>
  <c r="G43" s="1"/>
  <c r="I43" s="1"/>
  <c r="F45"/>
  <c r="F44"/>
  <c r="P45"/>
  <c r="Q45" s="1"/>
  <c r="C44"/>
  <c r="D72"/>
  <c r="U48" l="1"/>
  <c r="V47"/>
  <c r="C45"/>
  <c r="E45" s="1"/>
  <c r="E44"/>
  <c r="K43"/>
  <c r="L43" s="1"/>
  <c r="M43" s="1"/>
  <c r="B44"/>
  <c r="H44" s="1"/>
  <c r="P46"/>
  <c r="P47" s="1"/>
  <c r="U49" l="1"/>
  <c r="F49" s="1"/>
  <c r="F48"/>
  <c r="V48"/>
  <c r="C46"/>
  <c r="C47" s="1"/>
  <c r="E47" s="1"/>
  <c r="G45"/>
  <c r="K45" s="1"/>
  <c r="Q47"/>
  <c r="P48"/>
  <c r="Q46"/>
  <c r="V49" l="1"/>
  <c r="U50"/>
  <c r="F50" s="1"/>
  <c r="G46"/>
  <c r="E46"/>
  <c r="Q48"/>
  <c r="P49"/>
  <c r="C48"/>
  <c r="E48" s="1"/>
  <c r="G47"/>
  <c r="G44"/>
  <c r="I44" s="1"/>
  <c r="V50" l="1"/>
  <c r="U51"/>
  <c r="F51" s="1"/>
  <c r="K46"/>
  <c r="K44"/>
  <c r="L44" s="1"/>
  <c r="L45" s="1"/>
  <c r="K47"/>
  <c r="Q49"/>
  <c r="P50"/>
  <c r="P51" s="1"/>
  <c r="C49"/>
  <c r="E49" s="1"/>
  <c r="G48"/>
  <c r="B45"/>
  <c r="U52" l="1"/>
  <c r="V51"/>
  <c r="L46"/>
  <c r="L47" s="1"/>
  <c r="M44"/>
  <c r="K48"/>
  <c r="Q51"/>
  <c r="P52"/>
  <c r="Q52" s="1"/>
  <c r="C50"/>
  <c r="E50" s="1"/>
  <c r="G49"/>
  <c r="Q50"/>
  <c r="H45"/>
  <c r="I45" s="1"/>
  <c r="V52" l="1"/>
  <c r="F52"/>
  <c r="U53"/>
  <c r="L48"/>
  <c r="K49"/>
  <c r="P53"/>
  <c r="P54" s="1"/>
  <c r="C51"/>
  <c r="G50"/>
  <c r="B46"/>
  <c r="M45"/>
  <c r="V53" l="1"/>
  <c r="F53"/>
  <c r="U54"/>
  <c r="C52"/>
  <c r="E52" s="1"/>
  <c r="E51"/>
  <c r="L49"/>
  <c r="Q53"/>
  <c r="Q54"/>
  <c r="P55"/>
  <c r="G51"/>
  <c r="K50"/>
  <c r="H46"/>
  <c r="I46" s="1"/>
  <c r="V54" l="1"/>
  <c r="F54"/>
  <c r="U55"/>
  <c r="C53"/>
  <c r="E53" s="1"/>
  <c r="G52"/>
  <c r="K52" s="1"/>
  <c r="L50"/>
  <c r="L51" s="1"/>
  <c r="P56"/>
  <c r="K51"/>
  <c r="Q55"/>
  <c r="B47"/>
  <c r="M46"/>
  <c r="V55" l="1"/>
  <c r="F55"/>
  <c r="U56"/>
  <c r="F56" s="1"/>
  <c r="C54"/>
  <c r="E54" s="1"/>
  <c r="G53"/>
  <c r="K53" s="1"/>
  <c r="L52"/>
  <c r="P57"/>
  <c r="P58" s="1"/>
  <c r="Q56"/>
  <c r="H47"/>
  <c r="I47" s="1"/>
  <c r="U57" l="1"/>
  <c r="V56"/>
  <c r="C55"/>
  <c r="E55" s="1"/>
  <c r="L53"/>
  <c r="G54"/>
  <c r="K54" s="1"/>
  <c r="Q58"/>
  <c r="P59"/>
  <c r="Q59" s="1"/>
  <c r="Q57"/>
  <c r="B48"/>
  <c r="M47"/>
  <c r="V57" l="1"/>
  <c r="F57"/>
  <c r="U58"/>
  <c r="F58" s="1"/>
  <c r="L54"/>
  <c r="C56"/>
  <c r="E56" s="1"/>
  <c r="G55"/>
  <c r="K55" s="1"/>
  <c r="P60"/>
  <c r="H48"/>
  <c r="I48" s="1"/>
  <c r="U59" l="1"/>
  <c r="V59" s="1"/>
  <c r="V58"/>
  <c r="L55"/>
  <c r="C57"/>
  <c r="E57" s="1"/>
  <c r="G56"/>
  <c r="K56" s="1"/>
  <c r="P61"/>
  <c r="Q60"/>
  <c r="M48"/>
  <c r="B49"/>
  <c r="U60" l="1"/>
  <c r="F59"/>
  <c r="L56"/>
  <c r="C58"/>
  <c r="E58" s="1"/>
  <c r="G57"/>
  <c r="K57" s="1"/>
  <c r="P62"/>
  <c r="Q62" s="1"/>
  <c r="Q61"/>
  <c r="H49"/>
  <c r="I49" s="1"/>
  <c r="F60" l="1"/>
  <c r="U61"/>
  <c r="V60"/>
  <c r="L57"/>
  <c r="C59"/>
  <c r="E59" s="1"/>
  <c r="G58"/>
  <c r="K58" s="1"/>
  <c r="P63"/>
  <c r="B50"/>
  <c r="M49"/>
  <c r="V61" l="1"/>
  <c r="F61"/>
  <c r="U62"/>
  <c r="L58"/>
  <c r="C60"/>
  <c r="E60" s="1"/>
  <c r="G59"/>
  <c r="K59" s="1"/>
  <c r="P64"/>
  <c r="P65" s="1"/>
  <c r="Q63"/>
  <c r="H50"/>
  <c r="I50" s="1"/>
  <c r="V63" l="1"/>
  <c r="V62"/>
  <c r="F62"/>
  <c r="U63"/>
  <c r="L59"/>
  <c r="G60"/>
  <c r="K60" s="1"/>
  <c r="C61"/>
  <c r="E61" s="1"/>
  <c r="Q64"/>
  <c r="Q65"/>
  <c r="P66"/>
  <c r="B51"/>
  <c r="M50"/>
  <c r="F63" l="1"/>
  <c r="U64"/>
  <c r="L60"/>
  <c r="C62"/>
  <c r="E62" s="1"/>
  <c r="G61"/>
  <c r="K61" s="1"/>
  <c r="Q66"/>
  <c r="P67"/>
  <c r="H51"/>
  <c r="I51" s="1"/>
  <c r="V64" l="1"/>
  <c r="F64"/>
  <c r="U65"/>
  <c r="L61"/>
  <c r="G62"/>
  <c r="K62" s="1"/>
  <c r="C63"/>
  <c r="E63" s="1"/>
  <c r="P68"/>
  <c r="P69" s="1"/>
  <c r="Q67"/>
  <c r="B52"/>
  <c r="M51"/>
  <c r="V65" l="1"/>
  <c r="F65"/>
  <c r="U66"/>
  <c r="L62"/>
  <c r="G63"/>
  <c r="K63" s="1"/>
  <c r="C64"/>
  <c r="E64" s="1"/>
  <c r="Q69"/>
  <c r="P70"/>
  <c r="Q68"/>
  <c r="H52"/>
  <c r="I52" s="1"/>
  <c r="V66" l="1"/>
  <c r="F66"/>
  <c r="U67"/>
  <c r="V67" s="1"/>
  <c r="L63"/>
  <c r="G64"/>
  <c r="K64" s="1"/>
  <c r="C65"/>
  <c r="E65" s="1"/>
  <c r="P71"/>
  <c r="P72" s="1"/>
  <c r="Q72" s="1"/>
  <c r="Q70"/>
  <c r="B53"/>
  <c r="M52"/>
  <c r="F67" l="1"/>
  <c r="U68"/>
  <c r="L64"/>
  <c r="C66"/>
  <c r="E66" s="1"/>
  <c r="G65"/>
  <c r="K65" s="1"/>
  <c r="Q71"/>
  <c r="H53"/>
  <c r="I53" s="1"/>
  <c r="V68" l="1"/>
  <c r="F68"/>
  <c r="U69"/>
  <c r="L65"/>
  <c r="C67"/>
  <c r="E67" s="1"/>
  <c r="G66"/>
  <c r="K66" s="1"/>
  <c r="B54"/>
  <c r="M53"/>
  <c r="V69" l="1"/>
  <c r="F69"/>
  <c r="U70"/>
  <c r="V70" s="1"/>
  <c r="L66"/>
  <c r="C68"/>
  <c r="E68" s="1"/>
  <c r="G67"/>
  <c r="K67" s="1"/>
  <c r="H54"/>
  <c r="I54" s="1"/>
  <c r="F70" l="1"/>
  <c r="U71"/>
  <c r="L67"/>
  <c r="C69"/>
  <c r="E69" s="1"/>
  <c r="G68"/>
  <c r="K68" s="1"/>
  <c r="M54"/>
  <c r="B55"/>
  <c r="U72" l="1"/>
  <c r="F71"/>
  <c r="V71"/>
  <c r="L68"/>
  <c r="C70"/>
  <c r="E70" s="1"/>
  <c r="G69"/>
  <c r="K69" s="1"/>
  <c r="H55"/>
  <c r="I55" s="1"/>
  <c r="V72" l="1"/>
  <c r="F72"/>
  <c r="L69"/>
  <c r="C71"/>
  <c r="E71" s="1"/>
  <c r="G70"/>
  <c r="K70" s="1"/>
  <c r="B56"/>
  <c r="M55"/>
  <c r="L70" l="1"/>
  <c r="C72"/>
  <c r="E72" s="1"/>
  <c r="G71"/>
  <c r="K71" s="1"/>
  <c r="H56"/>
  <c r="I56" s="1"/>
  <c r="L71" l="1"/>
  <c r="G72"/>
  <c r="K72" s="1"/>
  <c r="B57"/>
  <c r="M56"/>
  <c r="L72" l="1"/>
  <c r="H57"/>
  <c r="I57" s="1"/>
  <c r="B58" l="1"/>
  <c r="M57"/>
  <c r="H58" l="1"/>
  <c r="I58" s="1"/>
  <c r="B59" l="1"/>
  <c r="M58"/>
  <c r="H59" l="1"/>
  <c r="I59" s="1"/>
  <c r="B60" l="1"/>
  <c r="M59"/>
  <c r="H60" l="1"/>
  <c r="I60" s="1"/>
  <c r="M60" l="1"/>
  <c r="B61"/>
  <c r="H61" l="1"/>
  <c r="I61" s="1"/>
  <c r="B62" l="1"/>
  <c r="M61"/>
  <c r="H62" l="1"/>
  <c r="I62" s="1"/>
  <c r="B63" l="1"/>
  <c r="M62"/>
  <c r="H63" l="1"/>
  <c r="I63" s="1"/>
  <c r="B64" l="1"/>
  <c r="M63"/>
  <c r="H64" l="1"/>
  <c r="I64" s="1"/>
  <c r="B65" l="1"/>
  <c r="M64"/>
  <c r="H65" l="1"/>
  <c r="I65" s="1"/>
  <c r="B66" l="1"/>
  <c r="M65"/>
  <c r="H66" l="1"/>
  <c r="I66" s="1"/>
  <c r="M66" l="1"/>
  <c r="B67"/>
  <c r="H67" l="1"/>
  <c r="I67" s="1"/>
  <c r="M67" l="1"/>
  <c r="B68"/>
  <c r="H68" l="1"/>
  <c r="I68" s="1"/>
  <c r="B69" l="1"/>
  <c r="M68"/>
  <c r="H69" l="1"/>
  <c r="I69" s="1"/>
  <c r="B70" l="1"/>
  <c r="M69"/>
  <c r="H70" l="1"/>
  <c r="I70" s="1"/>
  <c r="B71" l="1"/>
  <c r="M70"/>
  <c r="H71" l="1"/>
  <c r="I71" s="1"/>
  <c r="M71" l="1"/>
  <c r="B72"/>
  <c r="H72" l="1"/>
  <c r="I72" s="1"/>
  <c r="M72" s="1"/>
</calcChain>
</file>

<file path=xl/sharedStrings.xml><?xml version="1.0" encoding="utf-8"?>
<sst xmlns="http://schemas.openxmlformats.org/spreadsheetml/2006/main" count="550" uniqueCount="284">
  <si>
    <t>Jan</t>
  </si>
  <si>
    <t>Feb</t>
  </si>
  <si>
    <t>Mar</t>
  </si>
  <si>
    <t>Apr</t>
  </si>
  <si>
    <t>May</t>
  </si>
  <si>
    <t>Jun</t>
  </si>
  <si>
    <t>Jul</t>
  </si>
  <si>
    <t>Aug</t>
  </si>
  <si>
    <t>Sep</t>
  </si>
  <si>
    <t>Oct</t>
  </si>
  <si>
    <t>Nov</t>
  </si>
  <si>
    <t>Dec</t>
  </si>
  <si>
    <t>Month</t>
  </si>
  <si>
    <t>TOTAL</t>
  </si>
  <si>
    <t>Solar</t>
  </si>
  <si>
    <t>1118-1239</t>
  </si>
  <si>
    <t>3955-4383</t>
  </si>
  <si>
    <t>3383-3750</t>
  </si>
  <si>
    <t>8456-9372</t>
  </si>
  <si>
    <t>Variance</t>
  </si>
  <si>
    <t>Usage</t>
  </si>
  <si>
    <t>Federal Tax Credit/Subsidy of 30% - thank you taxpayers! ;-)</t>
  </si>
  <si>
    <t>LIFETIME</t>
  </si>
  <si>
    <t>kWh</t>
  </si>
  <si>
    <t>But since you can NOT cash this in and you LOSE it when you move, you do NOT want to generate excessive Solar Energy!</t>
  </si>
  <si>
    <t>7.2kW system of 18 Tesla 400H Watt Solar Panels in three arrays of 2@192°, 8@102°, 8@282° all at 23° pitch with very minimal shading at (basically) 40N &amp; 105W - operational 9/1/2023</t>
  </si>
  <si>
    <t>37.6/23.4</t>
  </si>
  <si>
    <t>28.3/18.6</t>
  </si>
  <si>
    <t>20.5/19.9</t>
  </si>
  <si>
    <t>14.9/26.1</t>
  </si>
  <si>
    <t>19.5/24.1</t>
  </si>
  <si>
    <t>27.9/21.2</t>
  </si>
  <si>
    <t>35.6/19.9</t>
  </si>
  <si>
    <t>47.2/18.9</t>
  </si>
  <si>
    <t>47.9/24.2</t>
  </si>
  <si>
    <t>45.3/38.7</t>
  </si>
  <si>
    <t>2023/09-$75     2024/06-$86</t>
  </si>
  <si>
    <t>In fairness, Xcel provides me with (basically) an "Infinite battery" available 7x24 to provide (and absorb) my power for under $100/year - WHAT A DEAL!!!</t>
  </si>
  <si>
    <t>My data (minus connection fee) from historical December rates: 2006/8.0 - 2008/9.2 - 2010/9.4 - 2012/10.2 - 2014/10.6 - 2016/10.7 - 2018/10.7 - 2020/11.0  - 2022/11.9</t>
  </si>
  <si>
    <t xml:space="preserve">BIG issue is what will happen with NEM in the next couple of decades!!!  </t>
  </si>
  <si>
    <t xml:space="preserve">2023: California moves from NEM2.0 to NEM3.0 which reduces the value of excess solar generation from retail rates to "Avoided Cost" (think Wholesale rates)... which is *considerably* less. </t>
  </si>
  <si>
    <t>2024: California increased fixed costs to $24/month and decreased cents/kWh 20% … LOL it was at 31 cents/kWh - over double what Colorado is!</t>
  </si>
  <si>
    <t>Significant issues include if install damaged roof, hail damage, replacing roof (I have concrete tile, but shingles would require multi-thousand dollar destack), inverter failure (warranty is 12.5 years), critter damage, etc.</t>
  </si>
  <si>
    <t>Year</t>
  </si>
  <si>
    <t>Starting</t>
  </si>
  <si>
    <t>kWh Cost</t>
  </si>
  <si>
    <t>Solar kWh</t>
  </si>
  <si>
    <t>Solar $$$</t>
  </si>
  <si>
    <t>Usage kWh</t>
  </si>
  <si>
    <t>Usage $$$</t>
  </si>
  <si>
    <t>IRR</t>
  </si>
  <si>
    <t>Ending</t>
  </si>
  <si>
    <t>Total</t>
  </si>
  <si>
    <t>^^^^^^^</t>
  </si>
  <si>
    <t>Worksheet tab</t>
  </si>
  <si>
    <t>Description</t>
  </si>
  <si>
    <t>Column Info</t>
  </si>
  <si>
    <t>Cost &amp; Payback</t>
  </si>
  <si>
    <t>How much did it cost to put in Solar and a WAG on if it's worth it?</t>
  </si>
  <si>
    <t>Xcel has a required "Service &amp; Facilities Charge" that can NOT be offset by excess solar production</t>
  </si>
  <si>
    <t>Equiv Cost</t>
  </si>
  <si>
    <t>Scenario</t>
  </si>
  <si>
    <t>kWh Usage</t>
  </si>
  <si>
    <t>Cents/kWh</t>
  </si>
  <si>
    <t>kWh Solar</t>
  </si>
  <si>
    <t>Opt #1</t>
  </si>
  <si>
    <t>Opt #2</t>
  </si>
  <si>
    <t>Actual</t>
  </si>
  <si>
    <t>Custom</t>
  </si>
  <si>
    <t>Elec %</t>
  </si>
  <si>
    <t>Invest %</t>
  </si>
  <si>
    <t>TOTAL Cost - LOL does NOT include putting the entire amount on a (big spend) credit card for no fee … so got 158,504 points ($18,504 charge, 40,000 referral to Wendy, 100,000 bonus!) … KA-CHING!</t>
  </si>
  <si>
    <t xml:space="preserve">   Optimal Scenario #1 - match Usage to Output</t>
  </si>
  <si>
    <t>Degrade %</t>
  </si>
  <si>
    <t>Nameste</t>
  </si>
  <si>
    <t>Positive value means better to have invested - negative means Solar was better</t>
  </si>
  <si>
    <t>If high percentage of energy comes from solar, then during peak production times rates go "negative" … and personal batteries are EXPENSIVE!</t>
  </si>
  <si>
    <t>K&amp;L: Solar Bank - this accounts for generated solar (and $$$) that is in excess of usage and can be used to offset future cost. If the Total goes Negative, then I have to "pay" to cover the excess energy usage.</t>
  </si>
  <si>
    <t>Alaska</t>
  </si>
  <si>
    <t>Ending - SB</t>
  </si>
  <si>
    <t>I: Columns B-G+H (That year's Capital MINUS what I saved from Solar PLUS what I could have earned from S&amp;P 500) ... which feeds back into next year Column B ... and then repeat each year!</t>
  </si>
  <si>
    <t>Predicted</t>
  </si>
  <si>
    <t>kWh Starting Solar Production</t>
  </si>
  <si>
    <t>Solar production as predicted from NREL PVWatts</t>
  </si>
  <si>
    <t>Prod &amp; Usage Graphs</t>
  </si>
  <si>
    <t>PVWatts says that based on 30 years of weather data and the annual variability for Boulder CO, there is a 90% chance that production will be 93% or higher and 10% chance&gt;103%</t>
  </si>
  <si>
    <t>Panels should provide 98%+ production the first year and then degrading 0.5%/year</t>
  </si>
  <si>
    <t xml:space="preserve">                Solar Bank</t>
  </si>
  <si>
    <t>Simplifying by doing calculations by year, rather than by month. Ending is Starting+IRR-Usage (if invested versus saved)</t>
  </si>
  <si>
    <t>Solar System Cost Data and Payback Analysis</t>
  </si>
  <si>
    <t>My Cost which ends up being $1.80/Watt after subsidy - Namaste was 50% higher at $2.70/Watt!</t>
  </si>
  <si>
    <t xml:space="preserve">   "LOW" Scenario from Alaska 6.7kW system - assume all solar output is used</t>
  </si>
  <si>
    <t>F: How much energy is actually used. If less than solar production, then the extra goes (1:1 at cost!) into Column K - Solar Bank.</t>
  </si>
  <si>
    <t>H: Multiple B times post-tax invest rate of return to get the "didn't invest in solar" return. The 20-year S&amp;P 500 return is 9.6%, so Post-tax is about 7.5% multiplied by capital left in Column B.</t>
  </si>
  <si>
    <t>G: Multiply C &amp; minimum of (D,F). I.e. the cents/kWh times how much kWh (up to usage) that solar produces that I don't have to pay for.</t>
  </si>
  <si>
    <t>B: Starting value is how much solar cost OR you can invest … and then is updated each year.</t>
  </si>
  <si>
    <t>C: Electricity costs in cents/kWh, increasing each year - mine is 2.5%/year in last 25+ years.</t>
  </si>
  <si>
    <t>D: How much Solar Panels generate each year in kWh after degradation … output typically decreases 0.5% per year.</t>
  </si>
  <si>
    <t>Note this can be used if Solar doesn't provide enough, stops working, etc. But this is LOST when you move, so ideally not much positive balance.</t>
  </si>
  <si>
    <t>N: Columns I-L (Capital remaining minus Solar Bank balance) which is the "TOTAL" number - if it goes negative, then Solar was the better investment.</t>
  </si>
  <si>
    <t>Acquisition Cost … note this was "linear" pricing - i.e. $2.57/Watt even if more/less panels, so makes it easy to generate "optimum" cost analysis below.</t>
  </si>
  <si>
    <t>Tesla doesn't install a Critter Guard and installers quoted it at $1,000 … but I did it myself for cost of materials of $200.</t>
  </si>
  <si>
    <t xml:space="preserve">   Enter your own Custom Numbers</t>
  </si>
  <si>
    <t>45.1/40.4</t>
  </si>
  <si>
    <t>36.5/43.8</t>
  </si>
  <si>
    <t>Tesla Annual Predicted</t>
  </si>
  <si>
    <t>Xcel</t>
  </si>
  <si>
    <t>Sep-Dec</t>
  </si>
  <si>
    <t>Cooling</t>
  </si>
  <si>
    <t>Heating</t>
  </si>
  <si>
    <t>Therms</t>
  </si>
  <si>
    <t>Xcel Data</t>
  </si>
  <si>
    <t>ANNUAL</t>
  </si>
  <si>
    <t xml:space="preserve">   I.e. Installed too many solar panels!</t>
  </si>
  <si>
    <t>Questionable Data - usually fixed via interpolation!</t>
  </si>
  <si>
    <r>
      <rPr>
        <vertAlign val="superscript"/>
        <sz val="11"/>
        <color theme="1"/>
        <rFont val="Calibri"/>
        <family val="2"/>
        <scheme val="minor"/>
      </rPr>
      <t>*1</t>
    </r>
    <r>
      <rPr>
        <sz val="11"/>
        <color theme="1"/>
        <rFont val="Calibri"/>
        <family val="2"/>
        <scheme val="minor"/>
      </rPr>
      <t>Feb</t>
    </r>
  </si>
  <si>
    <r>
      <rPr>
        <vertAlign val="superscript"/>
        <sz val="11"/>
        <color theme="1"/>
        <rFont val="Calibri"/>
        <family val="2"/>
        <scheme val="minor"/>
      </rPr>
      <t>*1</t>
    </r>
    <r>
      <rPr>
        <sz val="11"/>
        <color theme="1"/>
        <rFont val="Calibri"/>
        <family val="2"/>
        <scheme val="minor"/>
      </rPr>
      <t>Mar</t>
    </r>
  </si>
  <si>
    <t>2020 Partial - NOT graphed</t>
  </si>
  <si>
    <t>*1 - House was vacant from mid-Feb to mid-Mar/2024 … so usage then was truly "baseline" load (8-9kWh/day) since no people, heat turned down, minimal lights, etc.</t>
  </si>
  <si>
    <t>Utility Graphs</t>
  </si>
  <si>
    <t>Note there is no major changes in our usage - if anything, we crank the A/C more(!) … so why the heck is the usage almost 20% lower?!?</t>
  </si>
  <si>
    <t>BTW, summertime baseline (lights aren't on as much) is just over 7kWh/day - about 300 Watts/hour average(!) - 7x24 Radon Fan and computer stuff is close to half of that.</t>
  </si>
  <si>
    <t>Notes</t>
  </si>
  <si>
    <t xml:space="preserve">   This is the actual numbers used when designing my Solar System</t>
  </si>
  <si>
    <t xml:space="preserve">   Optimal Scenario #2 - match Output to Usage</t>
  </si>
  <si>
    <t>Average Annual Cents/kWh at start - For me, I declined TOU, so it's fixed cents/kWh from 6/1-9/30 and a bit lower the rest of the year - details on Prod &amp; Usage Data Tab</t>
  </si>
  <si>
    <t>&lt;&lt;&lt;&lt;&lt;&lt;&lt;&lt;   Select a numbers from one of the scenario's below and scroll down to see results</t>
  </si>
  <si>
    <t>Annual Degradation in Solar Output - My specs (typical) say expected solar production will be at least 86% after 25 years. Panel Warranty is 25 years - Inverter is 12.5 years (Tesla fixes, but does not make up loss of production)</t>
  </si>
  <si>
    <t>Gas and Electrical Usage plus Solar Production</t>
  </si>
  <si>
    <t xml:space="preserve">Annual Gas and Electrical Usage with Solar Generation from 2024 onward </t>
  </si>
  <si>
    <t>Install Radon Fan which pulls ~60Watts which runs 7X24 (so 500+kWh/year) in August/2022</t>
  </si>
  <si>
    <t>Old fridge died (while gone for a week - STINKERS) so new/better/bigger one installed in August/2013</t>
  </si>
  <si>
    <t>Hot Water Heater (Gas) replaced in Feb/2020 … doubt it will make much difference</t>
  </si>
  <si>
    <t>Data from 2021 onward is based on Xcel (numbers above) and has higher accuracy</t>
  </si>
  <si>
    <t>Pred Prod</t>
  </si>
  <si>
    <t>Graph of predicted and actual solar production plus home usage</t>
  </si>
  <si>
    <t>Electrical &amp; Gas data from utility plus solar production</t>
  </si>
  <si>
    <t>I welcome any suggestions/feedback. Alek Komarnitsky - www.komar.org</t>
  </si>
  <si>
    <t>Over time, it has evolved to also show and analyze my utility data … and again, it's fairly generic so you can easily replace with your data and generate pretty graphs.</t>
  </si>
  <si>
    <t>You can easily change the values below (which flow to the other tabs and graphs) with your own by using the PVWatts website, what your vendor has provided, or however you predict output.</t>
  </si>
  <si>
    <t>Graph of Electrical &amp; Gas Usage with Heating/Cooling Days</t>
  </si>
  <si>
    <t>My guess is if we were around, about 200kWh of additional energy would have been used - assumes straight-line reduction from Jan-Apr.</t>
  </si>
  <si>
    <t>New Furnace and A/C installed in October/2019. Furnace probably won't make much difference (although less cost to run fan) and A/C should be more efficient</t>
  </si>
  <si>
    <t>Cooling days use Electricity (kWh) to cool the house - Heating days use Gas (Therms) to warm it.</t>
  </si>
  <si>
    <t>Elec &amp; Gas Data</t>
  </si>
  <si>
    <t>Annual Graphs</t>
  </si>
  <si>
    <t>Array4</t>
  </si>
  <si>
    <t>Array5</t>
  </si>
  <si>
    <t>Array6</t>
  </si>
  <si>
    <t>Array7</t>
  </si>
  <si>
    <t>Array8</t>
  </si>
  <si>
    <t>Tax Credit</t>
  </si>
  <si>
    <t>Pre-Tax</t>
  </si>
  <si>
    <t>Post-Tax</t>
  </si>
  <si>
    <t>Extra</t>
  </si>
  <si>
    <t>As Planned</t>
  </si>
  <si>
    <t>$/kWh</t>
  </si>
  <si>
    <t>kW Rating</t>
  </si>
  <si>
    <t>Capacity</t>
  </si>
  <si>
    <t>Costs - ONLY enter Pre-Tax, Tax Credit Rate, and any Extra Costs</t>
  </si>
  <si>
    <t>$/Watt</t>
  </si>
  <si>
    <t>Nothing else needs to be changed unless you enter "Custom" numbers below and select that numeric option - Note that some columns are calculated for you</t>
  </si>
  <si>
    <t>Mine is 7.2kW system of 18 Tesla 400H Watt Solar Panels in three arrays of 2@192°, 8@102°, 8@282° all at 23° pitch with very minimal shading at (basically) 40N &amp; 105W - operational 9/1/2023</t>
  </si>
  <si>
    <t>Annual</t>
  </si>
  <si>
    <t>Factor</t>
  </si>
  <si>
    <t>System</t>
  </si>
  <si>
    <t>The numbers in the columns below come from above - ONLY select the number of the scenario</t>
  </si>
  <si>
    <t>Array1</t>
  </si>
  <si>
    <t>Array2</t>
  </si>
  <si>
    <t>Array3</t>
  </si>
  <si>
    <t>Array9</t>
  </si>
  <si>
    <t>All Arrays</t>
  </si>
  <si>
    <t>kW Capacity</t>
  </si>
  <si>
    <t>Yearly kWh</t>
  </si>
  <si>
    <t>Predicted kWh Output from NREL PVWatts Calculator - https://pvwatts.nrel.gov/</t>
  </si>
  <si>
    <t>Capacity Factor - predicted kWh output divided by kW capacity (X24 hours X days in month) - data entered above</t>
  </si>
  <si>
    <t>Solar Production Predicted Output</t>
  </si>
  <si>
    <t>Solar Panel Production/Usage Analysis</t>
  </si>
  <si>
    <t>kWh and Therms used alongside Cooling &amp; Heating Days</t>
  </si>
  <si>
    <t>Annual Electrical &amp; Gas Usage</t>
  </si>
  <si>
    <t>2x400@192°</t>
  </si>
  <si>
    <t>8x400@102°</t>
  </si>
  <si>
    <t>8x400@282°</t>
  </si>
  <si>
    <t>NREL PVWatts Calculator was done in mid/2024 using website version 8.2.1 and API version 8.0 with default parameters with Premium Modules and Roof Mount with 23° pitch</t>
  </si>
  <si>
    <r>
      <t>Interesting that (for those 2X400 panels), PVWatts at (as installed) 192/23</t>
    </r>
    <r>
      <rPr>
        <vertAlign val="superscript"/>
        <sz val="11"/>
        <color theme="1"/>
        <rFont val="Calibri"/>
        <family val="2"/>
        <scheme val="minor"/>
      </rPr>
      <t>o</t>
    </r>
    <r>
      <rPr>
        <sz val="11"/>
        <color theme="1"/>
        <rFont val="Calibri"/>
        <family val="2"/>
        <scheme val="minor"/>
      </rPr>
      <t xml:space="preserve"> (azimuth/pitch) is 1,199 kWh, optimum azimuth is 172</t>
    </r>
    <r>
      <rPr>
        <vertAlign val="superscript"/>
        <sz val="11"/>
        <color theme="1"/>
        <rFont val="Calibri"/>
        <family val="2"/>
        <scheme val="minor"/>
      </rPr>
      <t>o</t>
    </r>
    <r>
      <rPr>
        <sz val="11"/>
        <color theme="1"/>
        <rFont val="Calibri"/>
        <family val="2"/>
        <scheme val="minor"/>
      </rPr>
      <t xml:space="preserve"> (not 180</t>
    </r>
    <r>
      <rPr>
        <vertAlign val="superscript"/>
        <sz val="11"/>
        <color theme="1"/>
        <rFont val="Calibri"/>
        <family val="2"/>
        <scheme val="minor"/>
      </rPr>
      <t>o</t>
    </r>
    <r>
      <rPr>
        <sz val="11"/>
        <color theme="1"/>
        <rFont val="Calibri"/>
        <family val="2"/>
        <scheme val="minor"/>
      </rPr>
      <t>) for 1,211kWh, and absolute optimum is 172/40</t>
    </r>
    <r>
      <rPr>
        <vertAlign val="superscript"/>
        <sz val="11"/>
        <color theme="1"/>
        <rFont val="Calibri"/>
        <family val="2"/>
        <scheme val="minor"/>
      </rPr>
      <t>o</t>
    </r>
    <r>
      <rPr>
        <sz val="11"/>
        <color theme="1"/>
        <rFont val="Calibri"/>
        <family val="2"/>
        <scheme val="minor"/>
      </rPr>
      <t xml:space="preserve"> (matching my latitude) for 1,246kWh</t>
    </r>
  </si>
  <si>
    <t>NOTES/CHANGES</t>
  </si>
  <si>
    <t>Dirk moves out in March/2022 (maybe ~1000kWh/year difference?) plus 4 Blown Windows replaced in Feb/2022 and insulation put above garage &amp; attic in the August/2022 (maybe some difference in kWh and Therms)</t>
  </si>
  <si>
    <t>Total Cost to install Solar System after tax credit/subsidy - should include Critter Guard and any other misc.</t>
  </si>
  <si>
    <t>kWh Electrical Usage</t>
  </si>
  <si>
    <t xml:space="preserve">#3: Neighbor to East used Namaste - went BIGGER with 74(!) panels - 29kW - 36kWh (only 80% of their usage - albeit with two EV's and hot tub) for $120,000 and includes Critter Guard and Micro-Inverter Design. They weren't certain on the numbers, so those are estimates but seems about right. </t>
  </si>
  <si>
    <t>#2: BHE Neighbor used Namaste - went BIG with 32 panels - 13kW - 17kWh (only 70% of their usage - albeit with two EV's) for $50,000(!) and includes critter guard and Micro-Inverter Design. Nameste floats tax credit ($17,000!) as a tax-free loan.</t>
  </si>
  <si>
    <t>Scenario ZERO: ACTUAL values by year from Elec &amp; Gas Data Tab and your IRR (I use S&amp;P500 minus 30% for taxes)</t>
  </si>
  <si>
    <t>% Change</t>
  </si>
  <si>
    <t>N/A</t>
  </si>
  <si>
    <t>33.7/31.1</t>
  </si>
  <si>
    <t>Start Year</t>
  </si>
  <si>
    <t>There's a LOT of data/analysis here … but don't let it overwhelm you at first … as you'll soon realize that "most" of the conditions/situations of interest are covered.</t>
  </si>
  <si>
    <t>Things still to do and/or not handled</t>
  </si>
  <si>
    <t>NEM %</t>
  </si>
  <si>
    <t>NEM (Net Energy Metering) Factor. I.e. 100% (or 1:1) means you get the same rate for selling excess energy as you pay for it. Expect this number to decrease in the years to come!</t>
  </si>
  <si>
    <t>Selected #</t>
  </si>
  <si>
    <t>E: Multiply C &amp; D … AND multiply by NEM factor to get the "value" generated by Solar.</t>
  </si>
  <si>
    <t xml:space="preserve">Annual percent increase in electricity - EIA for Colorado shows last 25+ years is about 2.5% which is similar to what I have seen personally - LOL that 2023-&gt;2024 was 10%!   </t>
  </si>
  <si>
    <t>%Change</t>
  </si>
  <si>
    <t>WARM</t>
  </si>
  <si>
    <t>COLD</t>
  </si>
  <si>
    <t>I started building this spreadsheet in 2023 when I was installing Solar to help with the design -  the Cost &amp; Payback tab is fairly generic - try it out with your system!   ;-)</t>
  </si>
  <si>
    <t>PVWatts</t>
  </si>
  <si>
    <t>Gas</t>
  </si>
  <si>
    <t>Days</t>
  </si>
  <si>
    <t>Cents/</t>
  </si>
  <si>
    <t>NEM</t>
  </si>
  <si>
    <t>Costs</t>
  </si>
  <si>
    <t>Solar/Usage</t>
  </si>
  <si>
    <t>37.6 on 9/7</t>
  </si>
  <si>
    <t>Peak Daily</t>
  </si>
  <si>
    <t>Months based on abnormal heating/cooling days</t>
  </si>
  <si>
    <t>NEM can be incredibly complex. To fully handle TOU (Time-of-Use) and things such as demand pricing, you'd need by-minute production, usage, and cost data. This spreadsheet can only adjust cents/kWh and NEM at a monthly granularity.</t>
  </si>
  <si>
    <t>Powerwall-Dashboard</t>
  </si>
  <si>
    <t>Predicted comes from NREL-PVWatts … see Pred Prod worksheet tab. Powerwall-Dashboard (which correlates very with Xcel) provides total Solar/Usage data which is used in the cost calculations.</t>
  </si>
  <si>
    <t>47.9 on 5/8</t>
  </si>
  <si>
    <t>Xcel NEM (Net Energy Metering) is (currently!) 1:1 consumed and converted (then) to a dollar amount for a Solar Bank than can accumulate and be used to offset any extra.</t>
  </si>
  <si>
    <t>The Solar Bank Rollover calculations are close but slightly off - after first year (9/1/2023-2024), Xcel says $352.73 and I show $384.</t>
  </si>
  <si>
    <t>They had some "issues" getting this going in the first few months, plus the plethora of additional charges/credits results in it not being exactly 13/14 cents/kWh.</t>
  </si>
  <si>
    <t>I have a 7.2kW system of 18 Tesla 400H Watt Solar Panels in three arrays of 2@192°, 8@102°, 8@282° all at 23° pitch with very minimal shading at (basically) 40N &amp; 105W - operational 9/1/2023</t>
  </si>
  <si>
    <t>27.8/17.9</t>
  </si>
  <si>
    <t>Net</t>
  </si>
  <si>
    <t>Net@NEM of</t>
  </si>
  <si>
    <t xml:space="preserve">   Early/2024 Neighbor (ballpark numbers) - details below in note #2</t>
  </si>
  <si>
    <t xml:space="preserve">   Early/2024 Neighbor (ballpark numbers) - details below in note #3</t>
  </si>
  <si>
    <t xml:space="preserve">   Early/2025 Neighbor - expected solar output is diminished due to shade from trees</t>
  </si>
  <si>
    <t>Post-tax Investment Rate of Return - possible numbers are 3% for CD's, 9.6% (S&amp;P500 last 20 years to 2023) or 12.2% (S&amp;P500 last 10 years) and then adjust for taxes - https://www.officialdata.org/us/stocks/s-p-500/</t>
  </si>
  <si>
    <t>Data below shows Therms (Gas Usage), Heating &amp; Cooling Days, kWh Solar/Usage/Net (as reported by Powerwall), Net (as reported by Xcel), and Daily Peak Solar/Usage kWh … plus a bunch of cost data.</t>
  </si>
  <si>
    <t>Xcel data comes from their website as they provide data by month - note with Solar installed, you can (mostly) only see Net, since total usage includes some from Solar.</t>
  </si>
  <si>
    <t>I use Powerwall-Dashboard to get production/usage data from my Solar panels - this ROCKS and his highly recommended!</t>
  </si>
  <si>
    <t>COST</t>
  </si>
  <si>
    <t>Solar started Sep/2023</t>
  </si>
  <si>
    <t>Cents/kWh Equiv</t>
  </si>
  <si>
    <t>Data and Analysis of my Energy Usage and Solar System - can be easily used for yours!   ;-)</t>
  </si>
  <si>
    <t>Gas Cooktop (made in 1997- bought used via Craigslist in 2007) replaced with Induction in August/2024 - should see slight shift from Therms to kWh</t>
  </si>
  <si>
    <t>14.2/30.6</t>
  </si>
  <si>
    <t>20.7/20.7</t>
  </si>
  <si>
    <t>#1: Note that since Tesla pricing is linear, for what-if scenario's, you can simply adjust total price/output based on (ignore critter guard) $1.80/Watt post-tax. I had originally planned to put in 16 panels, but decided at the last minute to add 2 more … a mistake unless we increase our home usage!</t>
  </si>
  <si>
    <t>Actual so far</t>
  </si>
  <si>
    <t xml:space="preserve">   Actual numbers over the years - table below must have numbers</t>
  </si>
  <si>
    <t>&lt;&lt;&lt;&lt;&lt; Last "real" data (2024) pulled from Elec &amp; Gas Data Tab</t>
  </si>
  <si>
    <t>Tesla estimated annual energy production at install - 1.6% less than NREL PVWatts - may account for very slight chimney shading?</t>
  </si>
  <si>
    <t>Bar Charts of Electrical &amp; Gas Usage since 2008</t>
  </si>
  <si>
    <t>^^^^Usage Average</t>
  </si>
  <si>
    <t>Note that Payback Analysis is very sensitive (DUH!) to electricity costs (mine was 13.5 cents/kWh in 2023) and annual increases (2.5% last 25+ years) plus investment rate of return (S&amp;P500 pre-tax is 9.6% last 20 years)</t>
  </si>
  <si>
    <t>&lt;&lt;&lt;&lt;&lt; DATA EXTRAPOLATED FROM HERE ONWORD</t>
  </si>
  <si>
    <t>&lt;&lt;&lt;&lt;&lt; Add actual data on as it becomes available each year</t>
  </si>
  <si>
    <t>Well darn … I made a math error summing up the monthly 2022 statements and used 7,700 when it was 6,700 - confirmation bias looking at previous years!</t>
  </si>
  <si>
    <t>Now that now I have better access to Xcel data, 2021 was 7,612kWh … but 2022 dropped to 6,700kWh … due to Dirk leaving house - LOL he was pulling a incremental ~1,000kWh … which actually seems reasonable!</t>
  </si>
  <si>
    <t>So obviously a boo-boo in sizing the system … and then further compounded by deciding to add two more panels at the last minute - D'OH!   ;-)</t>
  </si>
  <si>
    <t xml:space="preserve">This means the system is over-sized and I product more than I use. So Xcel gets the excess while my Solar Bank grows ... but will I ever use it?!? </t>
  </si>
  <si>
    <t>When I manually added up my monthly utility bills, my electrical usage from 2019-2022 was 7,466/7,568/7,612/7,700 kWh which formed the basis for sizing the solar system.</t>
  </si>
  <si>
    <t>This is an average of 7,586kWh (with 1.5% variance!), yet somehow our total home usage for the first year of solar from 9/1/2023-2024 dropped to 6,117 kWh - WTF?!?</t>
  </si>
  <si>
    <t xml:space="preserve">            Annual Increase</t>
  </si>
  <si>
    <t>Email me at alek@komar.org and suggest something!  ;-)</t>
  </si>
  <si>
    <t>I currently get 1:1 Net Energy Metering … but Utilities are reducing the NEM (they kinda have to) so this will have an even more dramatic effect on payback time!</t>
  </si>
  <si>
    <t>My house was built in 1992 with 3,200 finished square feet &amp; 1,400 unfinished basement. Gas is used for the furnace, hot water, cooktop (until Aug/2024), and outside BBQ (rarely used) - everything else is electric.</t>
  </si>
  <si>
    <t xml:space="preserve"> (All since 9/1/2023)</t>
  </si>
  <si>
    <t>Solar goes live at end of August/2023 (LOL might have turned on a bit earlier) … so now converting photos to electrons!   ;-)</t>
  </si>
  <si>
    <t>However, they have additional charges that increase that about 10% … part of that is probably recovering the "line losses" (i.e. from their generation plants to my house where it's measured)</t>
  </si>
  <si>
    <t>So I think those offset each other "close enough" in the analysis.</t>
  </si>
  <si>
    <t>Counter-balancing that is the fact that the solar system/monitoring draws a slight amount of power which I've measured at 0.32 Amps. But since that is 7x24, that adds up - like all vampire loads!</t>
  </si>
  <si>
    <t>BTW, I use the "published" Xcel energy rates, which in 2024 was 13 cents/kWh and 16 cents/kWh in the summer months.</t>
  </si>
  <si>
    <t>plus (probably) a money play with blessing from the State utilities commission. LOL I have no idea how they handle this for NEM! So ideally this should be accounted for in the payback analysis … but it's "complicated" to do so.</t>
  </si>
  <si>
    <t>0.32AmpsX120VoltsX24HoursX365Days is 336kWh(!)/year ... which (at ~14 cents/kWh average) is $47/year. Plus there's an additional ~$25/year for my homeowners insurance.</t>
  </si>
  <si>
    <t>Other minor issues are increase in homeowner's insurance, property taxes (not allowed in Colorado), timing of tax credit (9 months later for me!), and see comment below.</t>
  </si>
  <si>
    <t>22.0/21.7</t>
  </si>
  <si>
    <t>27.3/21.6</t>
  </si>
  <si>
    <t>This raw data flows to the other worksheet tabs and graphs</t>
  </si>
  <si>
    <t>Xcel Data Pre-Solar (Solar started Sep/2023)</t>
  </si>
  <si>
    <t>Misc. Info about my Gas and Electrical Usage plus Solar Production with annual totals. By-Year is on other worksheet tabs.</t>
  </si>
  <si>
    <t>NG Cost / (Therms * 29.3kWh/Therm * 80% efficient furnace)</t>
  </si>
  <si>
    <t>YYYY Data</t>
  </si>
  <si>
    <t>Data by Year</t>
  </si>
  <si>
    <r>
      <t xml:space="preserve">2025 </t>
    </r>
    <r>
      <rPr>
        <b/>
        <u/>
        <sz val="18"/>
        <color theme="1"/>
        <rFont val="Calibri"/>
        <family val="2"/>
        <scheme val="minor"/>
      </rPr>
      <t>Gas and Electrical Usage plus Solar Production</t>
    </r>
  </si>
  <si>
    <r>
      <t xml:space="preserve">2024 </t>
    </r>
    <r>
      <rPr>
        <b/>
        <u/>
        <sz val="18"/>
        <color theme="1"/>
        <rFont val="Calibri"/>
        <family val="2"/>
        <scheme val="minor"/>
      </rPr>
      <t>Gas and Electrical Usage plus Solar Production</t>
    </r>
  </si>
  <si>
    <r>
      <t>2023</t>
    </r>
    <r>
      <rPr>
        <b/>
        <u/>
        <sz val="18"/>
        <color theme="1"/>
        <rFont val="Calibri"/>
        <family val="2"/>
        <scheme val="minor"/>
      </rPr>
      <t xml:space="preserve"> Gas and Electrical Usage plus Solar Production - installed/operational on Sep/2023</t>
    </r>
  </si>
  <si>
    <t>35.3/18.3</t>
  </si>
  <si>
    <t>Last Updated: 4/10/2025</t>
  </si>
</sst>
</file>

<file path=xl/styles.xml><?xml version="1.0" encoding="utf-8"?>
<styleSheet xmlns="http://schemas.openxmlformats.org/spreadsheetml/2006/main">
  <numFmts count="5">
    <numFmt numFmtId="6" formatCode="&quot;$&quot;#,##0_);[Red]\(&quot;$&quot;#,##0\)"/>
    <numFmt numFmtId="164" formatCode="&quot;$&quot;#,##0"/>
    <numFmt numFmtId="165" formatCode="0.0%"/>
    <numFmt numFmtId="166" formatCode="0.0"/>
    <numFmt numFmtId="167" formatCode="&quot;$&quot;#,##0.00"/>
  </numFmts>
  <fonts count="18">
    <font>
      <sz val="11"/>
      <color theme="1"/>
      <name val="Calibri"/>
      <family val="2"/>
      <scheme val="minor"/>
    </font>
    <font>
      <b/>
      <u/>
      <sz val="11"/>
      <color theme="1"/>
      <name val="Calibri"/>
      <family val="2"/>
      <scheme val="minor"/>
    </font>
    <font>
      <b/>
      <u/>
      <sz val="14"/>
      <color theme="1"/>
      <name val="Calibri"/>
      <family val="2"/>
      <scheme val="minor"/>
    </font>
    <font>
      <b/>
      <sz val="11"/>
      <color theme="1"/>
      <name val="Calibri"/>
      <family val="2"/>
      <scheme val="minor"/>
    </font>
    <font>
      <b/>
      <u/>
      <sz val="13"/>
      <color theme="1"/>
      <name val="Calibri"/>
      <family val="2"/>
      <scheme val="minor"/>
    </font>
    <font>
      <b/>
      <u/>
      <sz val="16"/>
      <color theme="1"/>
      <name val="Calibri"/>
      <family val="2"/>
      <scheme val="minor"/>
    </font>
    <font>
      <b/>
      <sz val="14"/>
      <color theme="1"/>
      <name val="Calibri"/>
      <family val="2"/>
      <scheme val="minor"/>
    </font>
    <font>
      <b/>
      <u/>
      <sz val="18"/>
      <color theme="1"/>
      <name val="Calibri"/>
      <family val="2"/>
      <scheme val="minor"/>
    </font>
    <font>
      <b/>
      <u/>
      <sz val="12"/>
      <color theme="1"/>
      <name val="Calibri"/>
      <family val="2"/>
      <scheme val="minor"/>
    </font>
    <font>
      <sz val="12"/>
      <color theme="1"/>
      <name val="Calibri"/>
      <family val="2"/>
      <scheme val="minor"/>
    </font>
    <font>
      <i/>
      <sz val="11"/>
      <color theme="1"/>
      <name val="Calibri"/>
      <family val="2"/>
      <scheme val="minor"/>
    </font>
    <font>
      <vertAlign val="superscript"/>
      <sz val="11"/>
      <color theme="1"/>
      <name val="Calibri"/>
      <family val="2"/>
      <scheme val="minor"/>
    </font>
    <font>
      <sz val="10"/>
      <name val="Arial"/>
      <family val="2"/>
    </font>
    <font>
      <sz val="11"/>
      <name val="Calibri"/>
      <family val="2"/>
      <scheme val="minor"/>
    </font>
    <font>
      <b/>
      <u/>
      <sz val="22"/>
      <color theme="1"/>
      <name val="Calibri"/>
      <family val="2"/>
      <scheme val="minor"/>
    </font>
    <font>
      <b/>
      <sz val="12"/>
      <color theme="1"/>
      <name val="Calibri"/>
      <family val="2"/>
      <scheme val="minor"/>
    </font>
    <font>
      <b/>
      <sz val="24"/>
      <color theme="1"/>
      <name val="Calibri"/>
      <family val="2"/>
      <scheme val="minor"/>
    </font>
    <font>
      <sz val="13"/>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s>
  <borders count="2">
    <border>
      <left/>
      <right/>
      <top/>
      <bottom/>
      <diagonal/>
    </border>
    <border>
      <left/>
      <right/>
      <top/>
      <bottom style="thin">
        <color auto="1"/>
      </bottom>
      <diagonal/>
    </border>
  </borders>
  <cellStyleXfs count="1">
    <xf numFmtId="0" fontId="0" fillId="0" borderId="0"/>
  </cellStyleXfs>
  <cellXfs count="142">
    <xf numFmtId="0" fontId="0" fillId="0" borderId="0" xfId="0"/>
    <xf numFmtId="0" fontId="0" fillId="0" borderId="0" xfId="0" applyAlignment="1">
      <alignment horizontal="right"/>
    </xf>
    <xf numFmtId="164" fontId="0" fillId="0" borderId="0" xfId="0" applyNumberFormat="1"/>
    <xf numFmtId="0" fontId="1" fillId="0" borderId="0" xfId="0" applyFont="1" applyAlignment="1">
      <alignment horizontal="right"/>
    </xf>
    <xf numFmtId="0" fontId="3" fillId="0" borderId="0" xfId="0" applyFont="1" applyAlignment="1">
      <alignment horizontal="right"/>
    </xf>
    <xf numFmtId="0" fontId="3" fillId="0" borderId="0" xfId="0" applyFont="1"/>
    <xf numFmtId="0" fontId="3" fillId="0" borderId="0" xfId="0" applyFont="1" applyAlignment="1">
      <alignment horizontal="left"/>
    </xf>
    <xf numFmtId="0" fontId="5" fillId="0" borderId="0" xfId="0" applyFont="1"/>
    <xf numFmtId="6" fontId="0" fillId="0" borderId="0" xfId="0" applyNumberFormat="1"/>
    <xf numFmtId="0" fontId="0" fillId="0" borderId="0" xfId="0" applyAlignment="1">
      <alignment horizontal="left"/>
    </xf>
    <xf numFmtId="0" fontId="2" fillId="0" borderId="0" xfId="0" applyFont="1" applyAlignment="1">
      <alignment horizontal="right"/>
    </xf>
    <xf numFmtId="0" fontId="7" fillId="0" borderId="0" xfId="0" applyFont="1"/>
    <xf numFmtId="0" fontId="0" fillId="0" borderId="1" xfId="0" applyBorder="1" applyAlignment="1">
      <alignment horizontal="right"/>
    </xf>
    <xf numFmtId="0" fontId="0" fillId="0" borderId="1" xfId="0" applyBorder="1"/>
    <xf numFmtId="0" fontId="0" fillId="0" borderId="0" xfId="0" applyAlignment="1"/>
    <xf numFmtId="165" fontId="0" fillId="0" borderId="0" xfId="0" applyNumberFormat="1"/>
    <xf numFmtId="0" fontId="0" fillId="0" borderId="0" xfId="0" applyNumberFormat="1" applyAlignment="1">
      <alignment horizontal="right"/>
    </xf>
    <xf numFmtId="164" fontId="0" fillId="0" borderId="0" xfId="0" applyNumberFormat="1" applyAlignment="1">
      <alignment horizontal="right"/>
    </xf>
    <xf numFmtId="166" fontId="0" fillId="0" borderId="0" xfId="0" applyNumberFormat="1" applyAlignment="1">
      <alignment horizontal="right"/>
    </xf>
    <xf numFmtId="1" fontId="0" fillId="0" borderId="0" xfId="0" applyNumberFormat="1" applyAlignment="1">
      <alignment horizontal="right"/>
    </xf>
    <xf numFmtId="166" fontId="0" fillId="0" borderId="0" xfId="0" applyNumberFormat="1"/>
    <xf numFmtId="1" fontId="0" fillId="0" borderId="0" xfId="0" applyNumberFormat="1"/>
    <xf numFmtId="0" fontId="8" fillId="0" borderId="0" xfId="0" applyFont="1"/>
    <xf numFmtId="165" fontId="8" fillId="0" borderId="0" xfId="0" applyNumberFormat="1" applyFont="1"/>
    <xf numFmtId="0" fontId="0" fillId="0" borderId="0" xfId="0" applyNumberFormat="1"/>
    <xf numFmtId="0" fontId="0" fillId="0" borderId="0" xfId="0" applyFill="1" applyBorder="1" applyAlignment="1">
      <alignment horizontal="right"/>
    </xf>
    <xf numFmtId="6" fontId="0" fillId="0" borderId="0" xfId="0" applyNumberFormat="1" applyAlignment="1">
      <alignment horizontal="right"/>
    </xf>
    <xf numFmtId="165" fontId="0" fillId="0" borderId="0" xfId="0" applyNumberFormat="1" applyAlignment="1">
      <alignment horizontal="right"/>
    </xf>
    <xf numFmtId="1" fontId="3" fillId="0" borderId="0" xfId="0" applyNumberFormat="1" applyFont="1"/>
    <xf numFmtId="6" fontId="6" fillId="0" borderId="0" xfId="0" applyNumberFormat="1" applyFont="1"/>
    <xf numFmtId="0" fontId="8"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1" fontId="3" fillId="0" borderId="0" xfId="0" applyNumberFormat="1" applyFont="1" applyAlignment="1">
      <alignment horizontal="right"/>
    </xf>
    <xf numFmtId="166" fontId="3" fillId="0" borderId="0" xfId="0" applyNumberFormat="1" applyFont="1" applyAlignment="1">
      <alignment horizontal="right"/>
    </xf>
    <xf numFmtId="0" fontId="6" fillId="0" borderId="0" xfId="0" applyFont="1" applyAlignment="1">
      <alignment horizontal="left"/>
    </xf>
    <xf numFmtId="166" fontId="3" fillId="0" borderId="0" xfId="0" applyNumberFormat="1" applyFont="1"/>
    <xf numFmtId="3" fontId="3" fillId="0" borderId="0" xfId="0" applyNumberFormat="1" applyFont="1"/>
    <xf numFmtId="164" fontId="3" fillId="0" borderId="0" xfId="0" applyNumberFormat="1" applyFont="1"/>
    <xf numFmtId="0" fontId="8" fillId="0" borderId="0" xfId="0" applyFont="1" applyAlignment="1">
      <alignment horizontal="right"/>
    </xf>
    <xf numFmtId="0" fontId="10" fillId="0" borderId="0" xfId="0" applyFont="1"/>
    <xf numFmtId="0" fontId="10" fillId="0" borderId="1" xfId="0" applyFont="1" applyBorder="1"/>
    <xf numFmtId="6" fontId="3" fillId="0" borderId="0" xfId="0" applyNumberFormat="1" applyFont="1"/>
    <xf numFmtId="165" fontId="3" fillId="0" borderId="0" xfId="0" applyNumberFormat="1" applyFont="1"/>
    <xf numFmtId="6" fontId="6" fillId="3" borderId="0" xfId="0" applyNumberFormat="1" applyFont="1" applyFill="1"/>
    <xf numFmtId="0" fontId="0" fillId="3" borderId="0" xfId="0" applyFill="1"/>
    <xf numFmtId="1" fontId="6" fillId="2" borderId="0" xfId="0" applyNumberFormat="1" applyFont="1" applyFill="1"/>
    <xf numFmtId="0" fontId="1" fillId="0" borderId="0" xfId="0" applyFont="1"/>
    <xf numFmtId="0" fontId="1" fillId="0" borderId="0" xfId="0" applyFont="1" applyAlignment="1">
      <alignment horizontal="left"/>
    </xf>
    <xf numFmtId="0" fontId="10" fillId="0" borderId="0" xfId="0" applyFont="1" applyFill="1" applyBorder="1" applyAlignment="1">
      <alignment horizontal="left"/>
    </xf>
    <xf numFmtId="0" fontId="0" fillId="0" borderId="0" xfId="0" applyFont="1"/>
    <xf numFmtId="0" fontId="0" fillId="0" borderId="0" xfId="0" applyFont="1" applyAlignment="1">
      <alignment horizontal="right"/>
    </xf>
    <xf numFmtId="0" fontId="0" fillId="2" borderId="0" xfId="0" applyFill="1"/>
    <xf numFmtId="0" fontId="0" fillId="4" borderId="0" xfId="0" applyFill="1"/>
    <xf numFmtId="0" fontId="0" fillId="0" borderId="1" xfId="0" applyFont="1" applyBorder="1"/>
    <xf numFmtId="0" fontId="0" fillId="4" borderId="0" xfId="0" applyFont="1" applyFill="1" applyAlignment="1">
      <alignment horizontal="right"/>
    </xf>
    <xf numFmtId="0" fontId="0" fillId="5" borderId="0" xfId="0" applyFill="1" applyAlignment="1">
      <alignment horizontal="right"/>
    </xf>
    <xf numFmtId="0" fontId="12" fillId="0" borderId="0" xfId="0" applyFont="1"/>
    <xf numFmtId="0" fontId="13" fillId="0" borderId="0" xfId="0" applyFont="1"/>
    <xf numFmtId="0" fontId="14" fillId="0" borderId="0" xfId="0" applyFont="1"/>
    <xf numFmtId="0" fontId="8" fillId="0" borderId="0" xfId="0" applyFont="1" applyAlignment="1">
      <alignment horizontal="center"/>
    </xf>
    <xf numFmtId="2" fontId="3" fillId="0" borderId="0" xfId="0" applyNumberFormat="1" applyFont="1" applyAlignment="1">
      <alignment horizontal="right"/>
    </xf>
    <xf numFmtId="167" fontId="3" fillId="0" borderId="0" xfId="0" applyNumberFormat="1" applyFont="1" applyAlignment="1">
      <alignment horizontal="right"/>
    </xf>
    <xf numFmtId="167" fontId="0" fillId="0" borderId="0" xfId="0" applyNumberFormat="1" applyAlignment="1">
      <alignment horizontal="right"/>
    </xf>
    <xf numFmtId="9" fontId="0" fillId="0" borderId="0" xfId="0" applyNumberFormat="1" applyFont="1" applyAlignment="1">
      <alignment horizontal="right"/>
    </xf>
    <xf numFmtId="164" fontId="0" fillId="0" borderId="0" xfId="0" applyNumberFormat="1" applyFont="1" applyAlignment="1">
      <alignment horizontal="right"/>
    </xf>
    <xf numFmtId="2" fontId="0" fillId="0" borderId="0" xfId="0" applyNumberFormat="1" applyFont="1" applyAlignment="1">
      <alignment horizontal="right"/>
    </xf>
    <xf numFmtId="1" fontId="15" fillId="0" borderId="0" xfId="0" applyNumberFormat="1" applyFont="1"/>
    <xf numFmtId="0" fontId="15" fillId="0" borderId="0" xfId="0" applyFont="1" applyAlignment="1">
      <alignment horizontal="right"/>
    </xf>
    <xf numFmtId="164" fontId="15" fillId="0" borderId="0" xfId="0" applyNumberFormat="1" applyFont="1" applyAlignment="1">
      <alignment horizontal="right"/>
    </xf>
    <xf numFmtId="9" fontId="15" fillId="0" borderId="0" xfId="0" applyNumberFormat="1" applyFont="1" applyAlignment="1">
      <alignment horizontal="right"/>
    </xf>
    <xf numFmtId="167" fontId="15" fillId="0" borderId="0" xfId="0" applyNumberFormat="1" applyFont="1" applyAlignment="1">
      <alignment horizontal="right"/>
    </xf>
    <xf numFmtId="2" fontId="15" fillId="0" borderId="0" xfId="0" applyNumberFormat="1" applyFont="1" applyAlignment="1">
      <alignment horizontal="right"/>
    </xf>
    <xf numFmtId="1" fontId="15" fillId="0" borderId="0" xfId="0" applyNumberFormat="1" applyFont="1" applyAlignment="1">
      <alignment horizontal="right"/>
    </xf>
    <xf numFmtId="165" fontId="15" fillId="0" borderId="0" xfId="0" applyNumberFormat="1" applyFont="1" applyAlignment="1">
      <alignment horizontal="right"/>
    </xf>
    <xf numFmtId="166" fontId="15" fillId="0" borderId="0" xfId="0" applyNumberFormat="1" applyFont="1" applyAlignment="1">
      <alignment horizontal="right"/>
    </xf>
    <xf numFmtId="0" fontId="15" fillId="0" borderId="0" xfId="0" applyFont="1"/>
    <xf numFmtId="0" fontId="9" fillId="0" borderId="0" xfId="0" applyFont="1"/>
    <xf numFmtId="1" fontId="0" fillId="0" borderId="0" xfId="0" applyNumberFormat="1" applyFont="1"/>
    <xf numFmtId="167" fontId="0" fillId="0" borderId="0" xfId="0" applyNumberFormat="1" applyFont="1" applyAlignment="1">
      <alignment horizontal="right"/>
    </xf>
    <xf numFmtId="1" fontId="0" fillId="0" borderId="0" xfId="0" applyNumberFormat="1" applyFont="1" applyAlignment="1">
      <alignment horizontal="right"/>
    </xf>
    <xf numFmtId="165" fontId="0" fillId="0" borderId="0" xfId="0" applyNumberFormat="1" applyFont="1" applyAlignment="1">
      <alignment horizontal="right"/>
    </xf>
    <xf numFmtId="166" fontId="0" fillId="0" borderId="0" xfId="0" applyNumberFormat="1" applyFont="1" applyAlignment="1">
      <alignment horizontal="right"/>
    </xf>
    <xf numFmtId="6" fontId="15" fillId="0" borderId="0" xfId="0" applyNumberFormat="1" applyFont="1"/>
    <xf numFmtId="10" fontId="15" fillId="0" borderId="0" xfId="0" applyNumberFormat="1" applyFont="1" applyAlignment="1">
      <alignment horizontal="right"/>
    </xf>
    <xf numFmtId="10" fontId="3" fillId="0" borderId="0" xfId="0" applyNumberFormat="1" applyFont="1" applyAlignment="1">
      <alignment horizontal="right"/>
    </xf>
    <xf numFmtId="10" fontId="0" fillId="0" borderId="0" xfId="0" applyNumberFormat="1" applyFont="1" applyAlignment="1">
      <alignment horizontal="right"/>
    </xf>
    <xf numFmtId="10" fontId="0" fillId="0" borderId="0" xfId="0" applyNumberFormat="1" applyAlignment="1">
      <alignment horizontal="right"/>
    </xf>
    <xf numFmtId="0" fontId="3" fillId="0" borderId="0" xfId="0" applyFont="1" applyFill="1" applyBorder="1" applyAlignment="1">
      <alignment horizontal="right"/>
    </xf>
    <xf numFmtId="0" fontId="15" fillId="0" borderId="0" xfId="0" applyFont="1" applyAlignment="1">
      <alignment horizontal="left"/>
    </xf>
    <xf numFmtId="165" fontId="0" fillId="0" borderId="1" xfId="0" applyNumberFormat="1" applyBorder="1"/>
    <xf numFmtId="0" fontId="2" fillId="0" borderId="0" xfId="0" applyFont="1"/>
    <xf numFmtId="2" fontId="0" fillId="0" borderId="0" xfId="0" applyNumberFormat="1"/>
    <xf numFmtId="10" fontId="0" fillId="0" borderId="0" xfId="0" applyNumberFormat="1"/>
    <xf numFmtId="0" fontId="6" fillId="0" borderId="0" xfId="0" applyFont="1"/>
    <xf numFmtId="9" fontId="3" fillId="0" borderId="0" xfId="0" applyNumberFormat="1" applyFont="1" applyAlignment="1">
      <alignment horizontal="right"/>
    </xf>
    <xf numFmtId="9" fontId="0" fillId="0" borderId="0" xfId="0" applyNumberFormat="1" applyAlignment="1">
      <alignment horizontal="right"/>
    </xf>
    <xf numFmtId="9" fontId="3" fillId="0" borderId="0" xfId="0" applyNumberFormat="1" applyFont="1"/>
    <xf numFmtId="9" fontId="0" fillId="0" borderId="0" xfId="0" applyNumberFormat="1"/>
    <xf numFmtId="0" fontId="0" fillId="0" borderId="0" xfId="0" applyFont="1" applyFill="1" applyAlignment="1">
      <alignment horizontal="left"/>
    </xf>
    <xf numFmtId="0" fontId="0" fillId="6" borderId="0" xfId="0" applyFill="1"/>
    <xf numFmtId="0" fontId="0" fillId="6" borderId="0" xfId="0" applyFill="1" applyAlignment="1">
      <alignment horizontal="right"/>
    </xf>
    <xf numFmtId="0" fontId="0" fillId="6" borderId="0" xfId="0" applyFont="1" applyFill="1"/>
    <xf numFmtId="0" fontId="3" fillId="5" borderId="0" xfId="0" applyFont="1" applyFill="1" applyAlignment="1">
      <alignment horizontal="left"/>
    </xf>
    <xf numFmtId="0" fontId="15" fillId="6" borderId="0" xfId="0" applyFont="1" applyFill="1"/>
    <xf numFmtId="0" fontId="2" fillId="0" borderId="0" xfId="0" applyFont="1"/>
    <xf numFmtId="0" fontId="4" fillId="0" borderId="0" xfId="0" applyFont="1" applyAlignment="1">
      <alignment horizontal="center"/>
    </xf>
    <xf numFmtId="2" fontId="0" fillId="0" borderId="0" xfId="0" applyNumberFormat="1" applyFill="1" applyAlignment="1">
      <alignment horizontal="right"/>
    </xf>
    <xf numFmtId="2" fontId="0" fillId="0" borderId="1" xfId="0" applyNumberFormat="1" applyFill="1" applyBorder="1" applyAlignment="1">
      <alignment horizontal="right"/>
    </xf>
    <xf numFmtId="9" fontId="0" fillId="0" borderId="1" xfId="0" applyNumberFormat="1" applyBorder="1" applyAlignment="1">
      <alignment horizontal="right"/>
    </xf>
    <xf numFmtId="164" fontId="0" fillId="0" borderId="1" xfId="0" applyNumberFormat="1" applyBorder="1"/>
    <xf numFmtId="9" fontId="8" fillId="0" borderId="0" xfId="0" applyNumberFormat="1" applyFont="1" applyAlignment="1">
      <alignment horizontal="right"/>
    </xf>
    <xf numFmtId="0" fontId="4" fillId="0" borderId="0" xfId="0" applyFont="1" applyAlignment="1">
      <alignment horizontal="right"/>
    </xf>
    <xf numFmtId="0" fontId="0" fillId="0" borderId="0" xfId="0" applyBorder="1" applyAlignment="1">
      <alignment horizontal="right"/>
    </xf>
    <xf numFmtId="2" fontId="0" fillId="0" borderId="0" xfId="0" applyNumberFormat="1" applyFont="1"/>
    <xf numFmtId="2" fontId="0" fillId="0" borderId="1" xfId="0" applyNumberFormat="1" applyFont="1" applyBorder="1"/>
    <xf numFmtId="9" fontId="0" fillId="0" borderId="1" xfId="0" applyNumberFormat="1" applyBorder="1"/>
    <xf numFmtId="0" fontId="0" fillId="6" borderId="1" xfId="0" applyFill="1" applyBorder="1" applyAlignment="1">
      <alignment horizontal="right"/>
    </xf>
    <xf numFmtId="10" fontId="3" fillId="0" borderId="0" xfId="0" applyNumberFormat="1" applyFont="1"/>
    <xf numFmtId="0" fontId="0" fillId="0" borderId="0" xfId="0" applyFont="1" applyAlignment="1">
      <alignment horizontal="left"/>
    </xf>
    <xf numFmtId="4" fontId="0" fillId="0" borderId="0" xfId="0" applyNumberFormat="1" applyAlignment="1">
      <alignment horizontal="right"/>
    </xf>
    <xf numFmtId="0" fontId="0" fillId="0" borderId="0" xfId="0" applyAlignment="1">
      <alignment horizontal="left"/>
    </xf>
    <xf numFmtId="0" fontId="0" fillId="0" borderId="0" xfId="0" applyAlignment="1">
      <alignment horizontal="center"/>
    </xf>
    <xf numFmtId="0" fontId="9" fillId="0" borderId="0" xfId="0" applyFont="1" applyAlignment="1">
      <alignment horizontal="left"/>
    </xf>
    <xf numFmtId="0" fontId="0" fillId="0" borderId="0" xfId="0" applyFill="1" applyAlignment="1">
      <alignment horizontal="right"/>
    </xf>
    <xf numFmtId="0" fontId="16" fillId="0" borderId="0" xfId="0" applyFont="1" applyAlignment="1">
      <alignment horizontal="center"/>
    </xf>
    <xf numFmtId="0" fontId="2" fillId="0" borderId="0" xfId="0" applyFont="1"/>
    <xf numFmtId="0" fontId="0" fillId="0" borderId="0" xfId="0" applyAlignment="1">
      <alignment horizontal="left"/>
    </xf>
    <xf numFmtId="0" fontId="4" fillId="0" borderId="0" xfId="0" applyFont="1" applyAlignment="1">
      <alignment horizontal="center"/>
    </xf>
    <xf numFmtId="0" fontId="14" fillId="0" borderId="0" xfId="0" applyFont="1" applyAlignment="1">
      <alignment horizontal="left"/>
    </xf>
    <xf numFmtId="0" fontId="17" fillId="0" borderId="0" xfId="0" applyFont="1"/>
    <xf numFmtId="0" fontId="2" fillId="0" borderId="0" xfId="0" applyFont="1"/>
    <xf numFmtId="0" fontId="0" fillId="0" borderId="0" xfId="0" applyFill="1"/>
    <xf numFmtId="0" fontId="6" fillId="0" borderId="0" xfId="0" applyFont="1" applyAlignment="1">
      <alignment horizontal="center"/>
    </xf>
    <xf numFmtId="0" fontId="8" fillId="0" borderId="0" xfId="0" applyFont="1" applyAlignment="1">
      <alignment horizontal="center"/>
    </xf>
    <xf numFmtId="0" fontId="15" fillId="0" borderId="0" xfId="0" applyFont="1" applyAlignment="1">
      <alignment horizontal="center"/>
    </xf>
    <xf numFmtId="0" fontId="2" fillId="0" borderId="0" xfId="0" applyFont="1" applyAlignment="1">
      <alignment horizontal="left"/>
    </xf>
    <xf numFmtId="0" fontId="2" fillId="0" borderId="0" xfId="0" applyFont="1"/>
    <xf numFmtId="0" fontId="2" fillId="0" borderId="0" xfId="0" applyFont="1" applyAlignment="1">
      <alignment horizontal="center"/>
    </xf>
    <xf numFmtId="0" fontId="0" fillId="0" borderId="0" xfId="0" applyAlignment="1">
      <alignment horizontal="left"/>
    </xf>
    <xf numFmtId="0" fontId="3" fillId="2" borderId="0" xfId="0" applyFont="1" applyFill="1" applyAlignment="1">
      <alignment horizontal="left"/>
    </xf>
    <xf numFmtId="0" fontId="4" fillId="0" borderId="0" xfId="0" applyFont="1" applyAlignment="1">
      <alignment horizontal="center"/>
    </xf>
  </cellXfs>
  <cellStyles count="1">
    <cellStyle name="Normal" xfId="0" builtinId="0"/>
  </cellStyles>
  <dxfs count="2">
    <dxf>
      <fill>
        <patternFill>
          <bgColor rgb="FF00B05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Solar Production (solid), Home Usage (dashed), and Net (dotted) in Kilowatt-hours</a:t>
            </a:r>
            <a:endParaRPr lang="en-US" sz="2000" baseline="0"/>
          </a:p>
        </c:rich>
      </c:tx>
      <c:layout>
        <c:manualLayout>
          <c:xMode val="edge"/>
          <c:yMode val="edge"/>
          <c:x val="0.13202378370705664"/>
          <c:y val="4.6882918704929326E-2"/>
        </c:manualLayout>
      </c:layout>
    </c:title>
    <c:plotArea>
      <c:layout>
        <c:manualLayout>
          <c:layoutTarget val="inner"/>
          <c:xMode val="edge"/>
          <c:yMode val="edge"/>
          <c:x val="6.3188510339964588E-2"/>
          <c:y val="0.13209162808137354"/>
          <c:w val="0.82632150137177274"/>
          <c:h val="0.81538617846465322"/>
        </c:manualLayout>
      </c:layout>
      <c:lineChart>
        <c:grouping val="standard"/>
        <c:ser>
          <c:idx val="9"/>
          <c:order val="0"/>
          <c:tx>
            <c:v>2021 Usage</c:v>
          </c:tx>
          <c:spPr>
            <a:ln w="25400">
              <a:solidFill>
                <a:srgbClr val="92D050"/>
              </a:solidFill>
              <a:prstDash val="dash"/>
            </a:ln>
          </c:spPr>
          <c:marker>
            <c:symbol val="diamond"/>
            <c:size val="5"/>
            <c:spPr>
              <a:solidFill>
                <a:srgbClr val="92D050"/>
              </a:solidFill>
              <a:ln>
                <a:solidFill>
                  <a:srgbClr val="92D050"/>
                </a:solidFill>
              </a:ln>
            </c:spPr>
          </c:marker>
          <c:val>
            <c:numRef>
              <c:f>'2020-2023 Data'!$E$5:$E$16</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8"/>
          <c:order val="1"/>
          <c:tx>
            <c:v>2022 Usage</c:v>
          </c:tx>
          <c:spPr>
            <a:ln w="25400">
              <a:solidFill>
                <a:srgbClr val="00B050"/>
              </a:solidFill>
              <a:prstDash val="dash"/>
            </a:ln>
            <a:effectLst/>
          </c:spPr>
          <c:marker>
            <c:symbol val="diamond"/>
            <c:size val="5"/>
            <c:spPr>
              <a:solidFill>
                <a:srgbClr val="00B050"/>
              </a:solidFill>
              <a:ln>
                <a:solidFill>
                  <a:srgbClr val="00B050"/>
                </a:solidFill>
              </a:ln>
              <a:effectLst/>
            </c:spPr>
          </c:marker>
          <c:val>
            <c:numRef>
              <c:f>'2020-2023 Data'!$K$5:$K$16</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2"/>
          <c:order val="2"/>
          <c:tx>
            <c:v>2023 Usage</c:v>
          </c:tx>
          <c:spPr>
            <a:ln w="25400">
              <a:solidFill>
                <a:srgbClr val="FFC000"/>
              </a:solidFill>
              <a:prstDash val="dash"/>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'2020-2023 Data'!$Q$5:$Q$16</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
          <c:order val="3"/>
          <c:tx>
            <c:v>2023 Solar</c:v>
          </c:tx>
          <c:spPr>
            <a:ln w="25400">
              <a:solidFill>
                <a:srgbClr val="FFC000"/>
              </a:solidFill>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'2023 Data'!$H$8:$H$19</c:f>
              <c:numCache>
                <c:formatCode>General</c:formatCode>
                <c:ptCount val="12"/>
                <c:pt idx="8">
                  <c:v>897</c:v>
                </c:pt>
                <c:pt idx="9">
                  <c:v>619</c:v>
                </c:pt>
                <c:pt idx="10">
                  <c:v>389</c:v>
                </c:pt>
                <c:pt idx="11">
                  <c:v>327</c:v>
                </c:pt>
              </c:numCache>
            </c:numRef>
          </c:val>
        </c:ser>
        <c:ser>
          <c:idx val="5"/>
          <c:order val="4"/>
          <c:tx>
            <c:v>2023 Net</c:v>
          </c:tx>
          <c:spPr>
            <a:ln w="25400">
              <a:solidFill>
                <a:srgbClr val="FFC000"/>
              </a:solidFill>
              <a:prstDash val="sysDot"/>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'2023 Data'!$J$8:$J$19</c:f>
              <c:numCache>
                <c:formatCode>General</c:formatCode>
                <c:ptCount val="12"/>
                <c:pt idx="8">
                  <c:v>533</c:v>
                </c:pt>
                <c:pt idx="9">
                  <c:v>227</c:v>
                </c:pt>
                <c:pt idx="10">
                  <c:v>-30</c:v>
                </c:pt>
                <c:pt idx="11">
                  <c:v>-289</c:v>
                </c:pt>
              </c:numCache>
            </c:numRef>
          </c:val>
        </c:ser>
        <c:ser>
          <c:idx val="4"/>
          <c:order val="5"/>
          <c:tx>
            <c:v>2024 Usage</c:v>
          </c:tx>
          <c:spPr>
            <a:ln w="25400">
              <a:solidFill>
                <a:srgbClr val="C00000"/>
              </a:solidFill>
              <a:prstDash val="dash"/>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Data'!$I$8:$I$19</c:f>
              <c:numCache>
                <c:formatCode>General</c:formatCode>
                <c:ptCount val="12"/>
                <c:pt idx="0">
                  <c:v>539</c:v>
                </c:pt>
                <c:pt idx="1">
                  <c:v>376</c:v>
                </c:pt>
                <c:pt idx="2">
                  <c:v>367</c:v>
                </c:pt>
                <c:pt idx="3">
                  <c:v>353</c:v>
                </c:pt>
                <c:pt idx="4">
                  <c:v>401</c:v>
                </c:pt>
                <c:pt idx="5">
                  <c:v>709</c:v>
                </c:pt>
                <c:pt idx="6">
                  <c:v>787</c:v>
                </c:pt>
                <c:pt idx="7">
                  <c:v>794</c:v>
                </c:pt>
                <c:pt idx="8">
                  <c:v>500</c:v>
                </c:pt>
                <c:pt idx="9">
                  <c:v>397</c:v>
                </c:pt>
                <c:pt idx="10">
                  <c:v>459</c:v>
                </c:pt>
                <c:pt idx="11">
                  <c:v>613</c:v>
                </c:pt>
              </c:numCache>
            </c:numRef>
          </c:val>
        </c:ser>
        <c:ser>
          <c:idx val="0"/>
          <c:order val="6"/>
          <c:tx>
            <c:v>2024 Solar</c:v>
          </c:tx>
          <c:spPr>
            <a:ln w="25400">
              <a:solidFill>
                <a:srgbClr val="C00000"/>
              </a:solidFill>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Data'!$H$8:$H$19</c:f>
              <c:numCache>
                <c:formatCode>General</c:formatCode>
                <c:ptCount val="12"/>
                <c:pt idx="0">
                  <c:v>343</c:v>
                </c:pt>
                <c:pt idx="1">
                  <c:v>430</c:v>
                </c:pt>
                <c:pt idx="2">
                  <c:v>668</c:v>
                </c:pt>
                <c:pt idx="3">
                  <c:v>937</c:v>
                </c:pt>
                <c:pt idx="4">
                  <c:v>1186</c:v>
                </c:pt>
                <c:pt idx="5">
                  <c:v>1058</c:v>
                </c:pt>
                <c:pt idx="6">
                  <c:v>1092</c:v>
                </c:pt>
                <c:pt idx="7">
                  <c:v>904</c:v>
                </c:pt>
                <c:pt idx="8">
                  <c:v>851</c:v>
                </c:pt>
                <c:pt idx="9">
                  <c:v>646</c:v>
                </c:pt>
                <c:pt idx="10">
                  <c:v>345</c:v>
                </c:pt>
                <c:pt idx="11">
                  <c:v>339</c:v>
                </c:pt>
              </c:numCache>
            </c:numRef>
          </c:val>
        </c:ser>
        <c:ser>
          <c:idx val="6"/>
          <c:order val="7"/>
          <c:tx>
            <c:v>2024 Net</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Data'!$J$8:$J$19</c:f>
              <c:numCache>
                <c:formatCode>General</c:formatCode>
                <c:ptCount val="12"/>
                <c:pt idx="0">
                  <c:v>-196</c:v>
                </c:pt>
                <c:pt idx="1">
                  <c:v>54</c:v>
                </c:pt>
                <c:pt idx="2">
                  <c:v>301</c:v>
                </c:pt>
                <c:pt idx="3">
                  <c:v>584</c:v>
                </c:pt>
                <c:pt idx="4">
                  <c:v>785</c:v>
                </c:pt>
                <c:pt idx="5">
                  <c:v>349</c:v>
                </c:pt>
                <c:pt idx="6">
                  <c:v>305</c:v>
                </c:pt>
                <c:pt idx="7">
                  <c:v>110</c:v>
                </c:pt>
                <c:pt idx="8">
                  <c:v>351</c:v>
                </c:pt>
                <c:pt idx="9">
                  <c:v>249</c:v>
                </c:pt>
                <c:pt idx="10">
                  <c:v>-114</c:v>
                </c:pt>
                <c:pt idx="11">
                  <c:v>-274</c:v>
                </c:pt>
              </c:numCache>
            </c:numRef>
          </c:val>
        </c:ser>
        <c:ser>
          <c:idx val="7"/>
          <c:order val="8"/>
          <c:tx>
            <c:v>2025 Usage</c:v>
          </c:tx>
          <c:spPr>
            <a:ln w="25400">
              <a:solidFill>
                <a:srgbClr val="00B0F0"/>
              </a:solidFill>
              <a:prstDash val="dash"/>
            </a:ln>
          </c:spPr>
          <c:marker>
            <c:symbol val="diamond"/>
            <c:size val="5"/>
            <c:spPr>
              <a:solidFill>
                <a:srgbClr val="00B0F0"/>
              </a:solidFill>
              <a:ln>
                <a:solidFill>
                  <a:srgbClr val="00B0F0"/>
                </a:solidFill>
                <a:prstDash val="dash"/>
              </a:ln>
            </c:spPr>
          </c:marker>
          <c:val>
            <c:numRef>
              <c:f>'2025 Data'!$I$8:$I$19</c:f>
              <c:numCache>
                <c:formatCode>General</c:formatCode>
                <c:ptCount val="12"/>
                <c:pt idx="0">
                  <c:v>535</c:v>
                </c:pt>
                <c:pt idx="1">
                  <c:v>416</c:v>
                </c:pt>
                <c:pt idx="2">
                  <c:v>427</c:v>
                </c:pt>
              </c:numCache>
            </c:numRef>
          </c:val>
        </c:ser>
        <c:ser>
          <c:idx val="10"/>
          <c:order val="9"/>
          <c:tx>
            <c:v>2025 Solar</c:v>
          </c:tx>
          <c:spPr>
            <a:ln>
              <a:solidFill>
                <a:srgbClr val="00B0F0"/>
              </a:solidFill>
            </a:ln>
          </c:spPr>
          <c:marker>
            <c:symbol val="diamond"/>
            <c:size val="5"/>
            <c:spPr>
              <a:solidFill>
                <a:srgbClr val="00B0F0"/>
              </a:solidFill>
              <a:ln>
                <a:solidFill>
                  <a:srgbClr val="00B0F0"/>
                </a:solidFill>
              </a:ln>
            </c:spPr>
          </c:marker>
          <c:val>
            <c:numRef>
              <c:f>'2025 Data'!$H$8:$H$19</c:f>
              <c:numCache>
                <c:formatCode>General</c:formatCode>
                <c:ptCount val="12"/>
                <c:pt idx="0">
                  <c:v>231</c:v>
                </c:pt>
                <c:pt idx="1">
                  <c:v>392</c:v>
                </c:pt>
                <c:pt idx="2">
                  <c:v>821</c:v>
                </c:pt>
              </c:numCache>
            </c:numRef>
          </c:val>
        </c:ser>
        <c:ser>
          <c:idx val="11"/>
          <c:order val="10"/>
          <c:tx>
            <c:v>2025 Net</c:v>
          </c:tx>
          <c:spPr>
            <a:ln>
              <a:solidFill>
                <a:srgbClr val="00B0F0"/>
              </a:solidFill>
              <a:prstDash val="sysDot"/>
            </a:ln>
          </c:spPr>
          <c:marker>
            <c:symbol val="diamond"/>
            <c:size val="5"/>
            <c:spPr>
              <a:solidFill>
                <a:srgbClr val="00B0F0"/>
              </a:solidFill>
              <a:ln>
                <a:solidFill>
                  <a:srgbClr val="00B0F0"/>
                </a:solidFill>
              </a:ln>
            </c:spPr>
          </c:marker>
          <c:val>
            <c:numRef>
              <c:f>'2025 Data'!$J$8:$J$10</c:f>
              <c:numCache>
                <c:formatCode>General</c:formatCode>
                <c:ptCount val="3"/>
                <c:pt idx="0">
                  <c:v>-304</c:v>
                </c:pt>
                <c:pt idx="1">
                  <c:v>-24</c:v>
                </c:pt>
                <c:pt idx="2">
                  <c:v>394</c:v>
                </c:pt>
              </c:numCache>
            </c:numRef>
          </c:val>
        </c:ser>
        <c:ser>
          <c:idx val="3"/>
          <c:order val="11"/>
          <c:tx>
            <c:v>Solar Predicted</c:v>
          </c:tx>
          <c:spPr>
            <a:ln w="38100">
              <a:solidFill>
                <a:schemeClr val="tx1"/>
              </a:solidFill>
            </a:ln>
          </c:spPr>
          <c:marker>
            <c:symbol val="diamond"/>
            <c:size val="10"/>
            <c:spPr>
              <a:solidFill>
                <a:schemeClr val="tx1"/>
              </a:solidFill>
              <a:ln>
                <a:solidFill>
                  <a:schemeClr val="tx1"/>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marker val="1"/>
        <c:axId val="181309824"/>
        <c:axId val="181312512"/>
      </c:lineChart>
      <c:catAx>
        <c:axId val="181309824"/>
        <c:scaling>
          <c:orientation val="minMax"/>
        </c:scaling>
        <c:axPos val="b"/>
        <c:majorGridlines/>
        <c:title>
          <c:tx>
            <c:rich>
              <a:bodyPr/>
              <a:lstStyle/>
              <a:p>
                <a:pPr>
                  <a:defRPr/>
                </a:pPr>
                <a:endParaRPr lang="en-US"/>
              </a:p>
              <a:p>
                <a:pPr>
                  <a:defRPr/>
                </a:pPr>
                <a:endParaRPr lang="en-US"/>
              </a:p>
            </c:rich>
          </c:tx>
          <c:layout/>
        </c:title>
        <c:tickLblPos val="nextTo"/>
        <c:crossAx val="181312512"/>
        <c:crossesAt val="-300"/>
        <c:auto val="1"/>
        <c:lblAlgn val="ctr"/>
        <c:lblOffset val="100"/>
      </c:catAx>
      <c:valAx>
        <c:axId val="181312512"/>
        <c:scaling>
          <c:orientation val="minMax"/>
          <c:max val="1200"/>
          <c:min val="-300"/>
        </c:scaling>
        <c:axPos val="l"/>
        <c:majorGridlines/>
        <c:numFmt formatCode="General" sourceLinked="1"/>
        <c:tickLblPos val="low"/>
        <c:crossAx val="181309824"/>
        <c:crosses val="autoZero"/>
        <c:crossBetween val="midCat"/>
        <c:majorUnit val="300"/>
      </c:valAx>
    </c:plotArea>
    <c:legend>
      <c:legendPos val="tr"/>
      <c:layout>
        <c:manualLayout>
          <c:xMode val="edge"/>
          <c:yMode val="edge"/>
          <c:x val="0.89719899011594217"/>
          <c:y val="0.11037713309092044"/>
          <c:w val="9.9334040430724843E-2"/>
          <c:h val="0.48060899364323695"/>
        </c:manualLayout>
      </c:layout>
      <c:spPr>
        <a:ln>
          <a:noFill/>
          <a:prstDash val="dash"/>
        </a:ln>
      </c:spPr>
    </c:legend>
    <c:plotVisOnly val="1"/>
    <c:dispBlanksAs val="gap"/>
  </c:chart>
  <c:spPr>
    <a:ln>
      <a:noFill/>
    </a:ln>
  </c:sp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Kilowatt-hours (solid) &amp; Therms (dashed) Usage and Heating &amp; Cooling Day (dotted)</a:t>
            </a:r>
            <a:endParaRPr lang="en-US" sz="2000" baseline="0"/>
          </a:p>
        </c:rich>
      </c:tx>
      <c:layout>
        <c:manualLayout>
          <c:xMode val="edge"/>
          <c:yMode val="edge"/>
          <c:x val="0.10747829801033786"/>
          <c:y val="4.2453239856647618E-2"/>
        </c:manualLayout>
      </c:layout>
    </c:title>
    <c:plotArea>
      <c:layout>
        <c:manualLayout>
          <c:layoutTarget val="inner"/>
          <c:xMode val="edge"/>
          <c:yMode val="edge"/>
          <c:x val="4.0543096801327193E-2"/>
          <c:y val="0.12987680697462037"/>
          <c:w val="0.83352682658855193"/>
          <c:h val="0.815386178464653"/>
        </c:manualLayout>
      </c:layout>
      <c:lineChart>
        <c:grouping val="standard"/>
        <c:ser>
          <c:idx val="1"/>
          <c:order val="0"/>
          <c:tx>
            <c:v>2021 kWh</c:v>
          </c:tx>
          <c:spPr>
            <a:ln w="25400">
              <a:solidFill>
                <a:srgbClr val="92D050"/>
              </a:solidFill>
            </a:ln>
          </c:spPr>
          <c:marker>
            <c:symbol val="diamond"/>
            <c:size val="5"/>
            <c:spPr>
              <a:solidFill>
                <a:srgbClr val="92D050"/>
              </a:solidFill>
              <a:ln>
                <a:solidFill>
                  <a:srgbClr val="92D050"/>
                </a:solidFill>
              </a:ln>
            </c:spPr>
          </c:marker>
          <c:val>
            <c:numRef>
              <c:f>'2020-2023 Data'!$E$5:$E$16</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3"/>
          <c:order val="1"/>
          <c:tx>
            <c:v>2021 Cooling</c:v>
          </c:tx>
          <c:spPr>
            <a:ln w="25400">
              <a:solidFill>
                <a:srgbClr val="92D050"/>
              </a:solidFill>
              <a:prstDash val="sysDot"/>
            </a:ln>
          </c:spPr>
          <c:marker>
            <c:symbol val="diamond"/>
            <c:size val="5"/>
            <c:spPr>
              <a:solidFill>
                <a:srgbClr val="92D050"/>
              </a:solidFill>
              <a:ln>
                <a:solidFill>
                  <a:srgbClr val="92D050"/>
                </a:solidFill>
              </a:ln>
            </c:spPr>
          </c:marker>
          <c:val>
            <c:numRef>
              <c:f>'2020-2023 Data'!$D$5:$D$16</c:f>
              <c:numCache>
                <c:formatCode>General</c:formatCode>
                <c:ptCount val="12"/>
                <c:pt idx="0">
                  <c:v>0</c:v>
                </c:pt>
                <c:pt idx="1">
                  <c:v>0</c:v>
                </c:pt>
                <c:pt idx="2">
                  <c:v>0</c:v>
                </c:pt>
                <c:pt idx="3">
                  <c:v>0</c:v>
                </c:pt>
                <c:pt idx="4">
                  <c:v>170</c:v>
                </c:pt>
                <c:pt idx="5">
                  <c:v>313</c:v>
                </c:pt>
                <c:pt idx="6">
                  <c:v>278</c:v>
                </c:pt>
                <c:pt idx="7">
                  <c:v>278</c:v>
                </c:pt>
                <c:pt idx="8">
                  <c:v>150</c:v>
                </c:pt>
                <c:pt idx="9">
                  <c:v>0</c:v>
                </c:pt>
                <c:pt idx="10">
                  <c:v>0</c:v>
                </c:pt>
                <c:pt idx="11">
                  <c:v>0</c:v>
                </c:pt>
              </c:numCache>
            </c:numRef>
          </c:val>
        </c:ser>
        <c:ser>
          <c:idx val="5"/>
          <c:order val="2"/>
          <c:tx>
            <c:v>2021 Heating</c:v>
          </c:tx>
          <c:spPr>
            <a:ln w="25400">
              <a:solidFill>
                <a:srgbClr val="92D050"/>
              </a:solidFill>
              <a:prstDash val="sysDash"/>
            </a:ln>
          </c:spPr>
          <c:marker>
            <c:symbol val="diamond"/>
            <c:size val="5"/>
            <c:spPr>
              <a:solidFill>
                <a:srgbClr val="92D050"/>
              </a:solidFill>
              <a:ln>
                <a:solidFill>
                  <a:srgbClr val="92D050"/>
                </a:solidFill>
              </a:ln>
            </c:spPr>
          </c:marker>
          <c:val>
            <c:numRef>
              <c:f>'2020-2023 Data'!$C$5:$C$16</c:f>
              <c:numCache>
                <c:formatCode>General</c:formatCode>
                <c:ptCount val="12"/>
                <c:pt idx="0">
                  <c:v>1034</c:v>
                </c:pt>
                <c:pt idx="1">
                  <c:v>1086</c:v>
                </c:pt>
                <c:pt idx="2">
                  <c:v>657</c:v>
                </c:pt>
                <c:pt idx="3">
                  <c:v>348</c:v>
                </c:pt>
                <c:pt idx="4">
                  <c:v>35</c:v>
                </c:pt>
                <c:pt idx="5">
                  <c:v>0</c:v>
                </c:pt>
                <c:pt idx="6">
                  <c:v>0</c:v>
                </c:pt>
                <c:pt idx="7">
                  <c:v>0</c:v>
                </c:pt>
                <c:pt idx="8">
                  <c:v>42</c:v>
                </c:pt>
                <c:pt idx="9">
                  <c:v>371</c:v>
                </c:pt>
                <c:pt idx="10">
                  <c:v>875</c:v>
                </c:pt>
                <c:pt idx="11">
                  <c:v>1212</c:v>
                </c:pt>
              </c:numCache>
            </c:numRef>
          </c:val>
        </c:ser>
        <c:ser>
          <c:idx val="7"/>
          <c:order val="3"/>
          <c:tx>
            <c:v>2021 Therms</c:v>
          </c:tx>
          <c:spPr>
            <a:ln w="25400">
              <a:solidFill>
                <a:srgbClr val="92D050"/>
              </a:solidFill>
              <a:prstDash val="dash"/>
            </a:ln>
          </c:spPr>
          <c:marker>
            <c:symbol val="diamond"/>
            <c:size val="5"/>
            <c:spPr>
              <a:solidFill>
                <a:srgbClr val="92D050"/>
              </a:solidFill>
              <a:ln>
                <a:solidFill>
                  <a:srgbClr val="92D050"/>
                </a:solidFill>
              </a:ln>
            </c:spPr>
          </c:marker>
          <c:val>
            <c:numRef>
              <c:f>'2020-2023 Data'!$B$5:$B$16</c:f>
              <c:numCache>
                <c:formatCode>General</c:formatCode>
                <c:ptCount val="12"/>
                <c:pt idx="0">
                  <c:v>184</c:v>
                </c:pt>
                <c:pt idx="1">
                  <c:v>221</c:v>
                </c:pt>
                <c:pt idx="2">
                  <c:v>121</c:v>
                </c:pt>
                <c:pt idx="3">
                  <c:v>83</c:v>
                </c:pt>
                <c:pt idx="4">
                  <c:v>31</c:v>
                </c:pt>
                <c:pt idx="5">
                  <c:v>11</c:v>
                </c:pt>
                <c:pt idx="6">
                  <c:v>10</c:v>
                </c:pt>
                <c:pt idx="7">
                  <c:v>6</c:v>
                </c:pt>
                <c:pt idx="8">
                  <c:v>7</c:v>
                </c:pt>
                <c:pt idx="9">
                  <c:v>26</c:v>
                </c:pt>
                <c:pt idx="10">
                  <c:v>79</c:v>
                </c:pt>
                <c:pt idx="11">
                  <c:v>160</c:v>
                </c:pt>
              </c:numCache>
            </c:numRef>
          </c:val>
        </c:ser>
        <c:ser>
          <c:idx val="8"/>
          <c:order val="4"/>
          <c:tx>
            <c:v>2022 kWh</c:v>
          </c:tx>
          <c:spPr>
            <a:ln w="25400">
              <a:solidFill>
                <a:srgbClr val="00B050"/>
              </a:solidFill>
              <a:prstDash val="solid"/>
            </a:ln>
            <a:effectLst/>
          </c:spPr>
          <c:marker>
            <c:symbol val="diamond"/>
            <c:size val="5"/>
            <c:spPr>
              <a:solidFill>
                <a:srgbClr val="00B050"/>
              </a:solidFill>
              <a:ln>
                <a:solidFill>
                  <a:srgbClr val="00B050"/>
                </a:solidFill>
              </a:ln>
              <a:effectLst/>
            </c:spPr>
          </c:marker>
          <c:val>
            <c:numRef>
              <c:f>'2020-2023 Data'!$K$5:$K$16</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9"/>
          <c:order val="5"/>
          <c:tx>
            <c:v>2022 Cooling</c:v>
          </c:tx>
          <c:spPr>
            <a:ln>
              <a:solidFill>
                <a:srgbClr val="00B050"/>
              </a:solidFill>
              <a:prstDash val="sysDot"/>
            </a:ln>
          </c:spPr>
          <c:marker>
            <c:symbol val="diamond"/>
            <c:size val="5"/>
            <c:spPr>
              <a:solidFill>
                <a:srgbClr val="00B050"/>
              </a:solidFill>
              <a:ln>
                <a:solidFill>
                  <a:srgbClr val="00B050"/>
                </a:solidFill>
              </a:ln>
            </c:spPr>
          </c:marker>
          <c:val>
            <c:numRef>
              <c:f>'2020-2023 Data'!$J$5:$J$16</c:f>
              <c:numCache>
                <c:formatCode>General</c:formatCode>
                <c:ptCount val="12"/>
                <c:pt idx="0">
                  <c:v>0</c:v>
                </c:pt>
                <c:pt idx="1">
                  <c:v>0</c:v>
                </c:pt>
                <c:pt idx="2">
                  <c:v>0</c:v>
                </c:pt>
                <c:pt idx="3">
                  <c:v>11</c:v>
                </c:pt>
                <c:pt idx="4">
                  <c:v>157</c:v>
                </c:pt>
                <c:pt idx="5">
                  <c:v>308</c:v>
                </c:pt>
                <c:pt idx="6">
                  <c:v>268</c:v>
                </c:pt>
                <c:pt idx="7">
                  <c:v>268</c:v>
                </c:pt>
                <c:pt idx="8">
                  <c:v>0</c:v>
                </c:pt>
                <c:pt idx="9">
                  <c:v>0</c:v>
                </c:pt>
                <c:pt idx="10">
                  <c:v>0</c:v>
                </c:pt>
                <c:pt idx="11">
                  <c:v>0</c:v>
                </c:pt>
              </c:numCache>
            </c:numRef>
          </c:val>
        </c:ser>
        <c:ser>
          <c:idx val="10"/>
          <c:order val="6"/>
          <c:tx>
            <c:v>2022 Heating</c:v>
          </c:tx>
          <c:spPr>
            <a:ln w="25400">
              <a:solidFill>
                <a:srgbClr val="00B050"/>
              </a:solidFill>
              <a:prstDash val="sysDash"/>
            </a:ln>
          </c:spPr>
          <c:marker>
            <c:symbol val="diamond"/>
            <c:size val="5"/>
            <c:spPr>
              <a:solidFill>
                <a:srgbClr val="00B050"/>
              </a:solidFill>
              <a:ln>
                <a:solidFill>
                  <a:srgbClr val="00B050"/>
                </a:solidFill>
              </a:ln>
            </c:spPr>
          </c:marker>
          <c:val>
            <c:numRef>
              <c:f>'2020-2023 Data'!$I$5:$I$16</c:f>
              <c:numCache>
                <c:formatCode>General</c:formatCode>
                <c:ptCount val="12"/>
                <c:pt idx="0">
                  <c:v>1163</c:v>
                </c:pt>
                <c:pt idx="1">
                  <c:v>907</c:v>
                </c:pt>
                <c:pt idx="2">
                  <c:v>504</c:v>
                </c:pt>
                <c:pt idx="3">
                  <c:v>299</c:v>
                </c:pt>
                <c:pt idx="4">
                  <c:v>36</c:v>
                </c:pt>
                <c:pt idx="5">
                  <c:v>0</c:v>
                </c:pt>
                <c:pt idx="6">
                  <c:v>0</c:v>
                </c:pt>
                <c:pt idx="7">
                  <c:v>0</c:v>
                </c:pt>
                <c:pt idx="8">
                  <c:v>14</c:v>
                </c:pt>
                <c:pt idx="9">
                  <c:v>400</c:v>
                </c:pt>
                <c:pt idx="10">
                  <c:v>1191</c:v>
                </c:pt>
                <c:pt idx="11">
                  <c:v>1311</c:v>
                </c:pt>
              </c:numCache>
            </c:numRef>
          </c:val>
        </c:ser>
        <c:ser>
          <c:idx val="11"/>
          <c:order val="7"/>
          <c:tx>
            <c:v>2022 Therms</c:v>
          </c:tx>
          <c:spPr>
            <a:ln w="25400">
              <a:solidFill>
                <a:srgbClr val="00B050"/>
              </a:solidFill>
              <a:prstDash val="dash"/>
            </a:ln>
          </c:spPr>
          <c:marker>
            <c:symbol val="diamond"/>
            <c:size val="5"/>
            <c:spPr>
              <a:solidFill>
                <a:srgbClr val="00B050"/>
              </a:solidFill>
              <a:ln>
                <a:solidFill>
                  <a:srgbClr val="00B050"/>
                </a:solidFill>
              </a:ln>
            </c:spPr>
          </c:marker>
          <c:val>
            <c:numRef>
              <c:f>'2020-2023 Data'!$H$5:$H$16</c:f>
              <c:numCache>
                <c:formatCode>General</c:formatCode>
                <c:ptCount val="12"/>
                <c:pt idx="0">
                  <c:v>166</c:v>
                </c:pt>
                <c:pt idx="1">
                  <c:v>161</c:v>
                </c:pt>
                <c:pt idx="2">
                  <c:v>113</c:v>
                </c:pt>
                <c:pt idx="3">
                  <c:v>48</c:v>
                </c:pt>
                <c:pt idx="4">
                  <c:v>24</c:v>
                </c:pt>
                <c:pt idx="5">
                  <c:v>10</c:v>
                </c:pt>
                <c:pt idx="6">
                  <c:v>7</c:v>
                </c:pt>
                <c:pt idx="7">
                  <c:v>7</c:v>
                </c:pt>
                <c:pt idx="8">
                  <c:v>9</c:v>
                </c:pt>
                <c:pt idx="9">
                  <c:v>22</c:v>
                </c:pt>
                <c:pt idx="10">
                  <c:v>127</c:v>
                </c:pt>
                <c:pt idx="11">
                  <c:v>210</c:v>
                </c:pt>
              </c:numCache>
            </c:numRef>
          </c:val>
        </c:ser>
        <c:ser>
          <c:idx val="2"/>
          <c:order val="8"/>
          <c:tx>
            <c:v>2023 KWh</c:v>
          </c:tx>
          <c:spPr>
            <a:ln w="25400">
              <a:solidFill>
                <a:srgbClr val="FFC000"/>
              </a:solidFill>
              <a:prstDash val="solid"/>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'2020-2023 Data'!$Q$5:$Q$16</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2"/>
          <c:order val="9"/>
          <c:tx>
            <c:v>2023 Cooling</c:v>
          </c:tx>
          <c:spPr>
            <a:ln w="25400">
              <a:solidFill>
                <a:srgbClr val="FFC000"/>
              </a:solidFill>
              <a:prstDash val="sysDot"/>
            </a:ln>
          </c:spPr>
          <c:marker>
            <c:symbol val="diamond"/>
            <c:size val="5"/>
            <c:spPr>
              <a:solidFill>
                <a:srgbClr val="FFC000"/>
              </a:solidFill>
              <a:ln>
                <a:solidFill>
                  <a:srgbClr val="FFC000"/>
                </a:solidFill>
              </a:ln>
            </c:spPr>
          </c:marker>
          <c:val>
            <c:numRef>
              <c:f>'2020-2023 Data'!$P$5:$P$16</c:f>
              <c:numCache>
                <c:formatCode>General</c:formatCode>
                <c:ptCount val="12"/>
                <c:pt idx="0">
                  <c:v>0</c:v>
                </c:pt>
                <c:pt idx="1">
                  <c:v>0</c:v>
                </c:pt>
                <c:pt idx="2">
                  <c:v>0</c:v>
                </c:pt>
                <c:pt idx="3">
                  <c:v>0</c:v>
                </c:pt>
                <c:pt idx="4">
                  <c:v>32</c:v>
                </c:pt>
                <c:pt idx="5">
                  <c:v>211</c:v>
                </c:pt>
                <c:pt idx="6">
                  <c:v>207</c:v>
                </c:pt>
                <c:pt idx="7">
                  <c:v>207</c:v>
                </c:pt>
                <c:pt idx="8">
                  <c:v>79</c:v>
                </c:pt>
                <c:pt idx="9">
                  <c:v>5</c:v>
                </c:pt>
                <c:pt idx="10">
                  <c:v>0</c:v>
                </c:pt>
                <c:pt idx="11">
                  <c:v>0</c:v>
                </c:pt>
              </c:numCache>
            </c:numRef>
          </c:val>
        </c:ser>
        <c:ser>
          <c:idx val="14"/>
          <c:order val="10"/>
          <c:tx>
            <c:v>2023 Heating</c:v>
          </c:tx>
          <c:spPr>
            <a:ln w="25400">
              <a:solidFill>
                <a:srgbClr val="FFC000"/>
              </a:solidFill>
              <a:prstDash val="sysDash"/>
            </a:ln>
          </c:spPr>
          <c:marker>
            <c:symbol val="triangle"/>
            <c:size val="5"/>
            <c:spPr>
              <a:solidFill>
                <a:srgbClr val="FFC000"/>
              </a:solidFill>
              <a:ln>
                <a:solidFill>
                  <a:srgbClr val="FFC000"/>
                </a:solidFill>
              </a:ln>
            </c:spPr>
          </c:marker>
          <c:val>
            <c:numRef>
              <c:f>'2020-2023 Data'!$O$5:$O$16</c:f>
              <c:numCache>
                <c:formatCode>General</c:formatCode>
                <c:ptCount val="12"/>
                <c:pt idx="0">
                  <c:v>1060</c:v>
                </c:pt>
                <c:pt idx="1">
                  <c:v>932</c:v>
                </c:pt>
                <c:pt idx="2">
                  <c:v>599</c:v>
                </c:pt>
                <c:pt idx="3">
                  <c:v>243</c:v>
                </c:pt>
                <c:pt idx="4">
                  <c:v>119</c:v>
                </c:pt>
                <c:pt idx="5">
                  <c:v>8</c:v>
                </c:pt>
                <c:pt idx="6">
                  <c:v>5</c:v>
                </c:pt>
                <c:pt idx="7">
                  <c:v>5</c:v>
                </c:pt>
                <c:pt idx="8">
                  <c:v>47</c:v>
                </c:pt>
                <c:pt idx="9">
                  <c:v>415</c:v>
                </c:pt>
                <c:pt idx="10">
                  <c:v>751</c:v>
                </c:pt>
                <c:pt idx="11">
                  <c:v>966</c:v>
                </c:pt>
              </c:numCache>
            </c:numRef>
          </c:val>
        </c:ser>
        <c:ser>
          <c:idx val="13"/>
          <c:order val="11"/>
          <c:tx>
            <c:v>2023 Therms</c:v>
          </c:tx>
          <c:spPr>
            <a:ln w="25400">
              <a:solidFill>
                <a:srgbClr val="FFC000"/>
              </a:solidFill>
              <a:prstDash val="dash"/>
            </a:ln>
          </c:spPr>
          <c:marker>
            <c:symbol val="diamond"/>
            <c:size val="5"/>
            <c:spPr>
              <a:solidFill>
                <a:srgbClr val="FFC000"/>
              </a:solidFill>
              <a:ln>
                <a:solidFill>
                  <a:srgbClr val="FFC000"/>
                </a:solidFill>
              </a:ln>
            </c:spPr>
          </c:marker>
          <c:val>
            <c:numRef>
              <c:f>'2020-2023 Data'!$N$5:$N$16</c:f>
              <c:numCache>
                <c:formatCode>General</c:formatCode>
                <c:ptCount val="12"/>
                <c:pt idx="0">
                  <c:v>188</c:v>
                </c:pt>
                <c:pt idx="1">
                  <c:v>160</c:v>
                </c:pt>
                <c:pt idx="2">
                  <c:v>113</c:v>
                </c:pt>
                <c:pt idx="3">
                  <c:v>44</c:v>
                </c:pt>
                <c:pt idx="4">
                  <c:v>14</c:v>
                </c:pt>
                <c:pt idx="5">
                  <c:v>6</c:v>
                </c:pt>
                <c:pt idx="6">
                  <c:v>7</c:v>
                </c:pt>
                <c:pt idx="7">
                  <c:v>7</c:v>
                </c:pt>
                <c:pt idx="8">
                  <c:v>9</c:v>
                </c:pt>
                <c:pt idx="9">
                  <c:v>38</c:v>
                </c:pt>
                <c:pt idx="10">
                  <c:v>117</c:v>
                </c:pt>
                <c:pt idx="11">
                  <c:v>162</c:v>
                </c:pt>
              </c:numCache>
            </c:numRef>
          </c:val>
        </c:ser>
        <c:ser>
          <c:idx val="4"/>
          <c:order val="12"/>
          <c:tx>
            <c:v>2024 kWh</c:v>
          </c:tx>
          <c:spPr>
            <a:ln w="25400">
              <a:solidFill>
                <a:srgbClr val="C00000"/>
              </a:solidFill>
              <a:prstDash val="solid"/>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Data'!$I$8:$I$19</c:f>
              <c:numCache>
                <c:formatCode>General</c:formatCode>
                <c:ptCount val="12"/>
                <c:pt idx="0">
                  <c:v>539</c:v>
                </c:pt>
                <c:pt idx="1">
                  <c:v>376</c:v>
                </c:pt>
                <c:pt idx="2">
                  <c:v>367</c:v>
                </c:pt>
                <c:pt idx="3">
                  <c:v>353</c:v>
                </c:pt>
                <c:pt idx="4">
                  <c:v>401</c:v>
                </c:pt>
                <c:pt idx="5">
                  <c:v>709</c:v>
                </c:pt>
                <c:pt idx="6">
                  <c:v>787</c:v>
                </c:pt>
                <c:pt idx="7">
                  <c:v>794</c:v>
                </c:pt>
                <c:pt idx="8">
                  <c:v>500</c:v>
                </c:pt>
                <c:pt idx="9">
                  <c:v>397</c:v>
                </c:pt>
                <c:pt idx="10">
                  <c:v>459</c:v>
                </c:pt>
                <c:pt idx="11">
                  <c:v>613</c:v>
                </c:pt>
              </c:numCache>
            </c:numRef>
          </c:val>
        </c:ser>
        <c:ser>
          <c:idx val="6"/>
          <c:order val="13"/>
          <c:tx>
            <c:v>2024 Cooling</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Data'!$D$8:$D$19</c:f>
              <c:numCache>
                <c:formatCode>General</c:formatCode>
                <c:ptCount val="12"/>
                <c:pt idx="0">
                  <c:v>0</c:v>
                </c:pt>
                <c:pt idx="1">
                  <c:v>0</c:v>
                </c:pt>
                <c:pt idx="2">
                  <c:v>0</c:v>
                </c:pt>
                <c:pt idx="3">
                  <c:v>0</c:v>
                </c:pt>
                <c:pt idx="4">
                  <c:v>2</c:v>
                </c:pt>
                <c:pt idx="5">
                  <c:v>214</c:v>
                </c:pt>
                <c:pt idx="6">
                  <c:v>297</c:v>
                </c:pt>
                <c:pt idx="7">
                  <c:v>278</c:v>
                </c:pt>
                <c:pt idx="8">
                  <c:v>128</c:v>
                </c:pt>
                <c:pt idx="9">
                  <c:v>8</c:v>
                </c:pt>
                <c:pt idx="10">
                  <c:v>0</c:v>
                </c:pt>
                <c:pt idx="11">
                  <c:v>0</c:v>
                </c:pt>
              </c:numCache>
            </c:numRef>
          </c:val>
        </c:ser>
        <c:ser>
          <c:idx val="0"/>
          <c:order val="14"/>
          <c:tx>
            <c:v>2024 Heating</c:v>
          </c:tx>
          <c:spPr>
            <a:ln w="25400">
              <a:solidFill>
                <a:srgbClr val="C00000"/>
              </a:solidFill>
              <a:prstDash val="sysDash"/>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'2024 Data'!$C$8:$C$19</c:f>
              <c:numCache>
                <c:formatCode>General</c:formatCode>
                <c:ptCount val="12"/>
                <c:pt idx="0">
                  <c:v>1229</c:v>
                </c:pt>
                <c:pt idx="1">
                  <c:v>911</c:v>
                </c:pt>
                <c:pt idx="2">
                  <c:v>811</c:v>
                </c:pt>
                <c:pt idx="3">
                  <c:v>489</c:v>
                </c:pt>
                <c:pt idx="4">
                  <c:v>290</c:v>
                </c:pt>
                <c:pt idx="5">
                  <c:v>4</c:v>
                </c:pt>
                <c:pt idx="6">
                  <c:v>1</c:v>
                </c:pt>
                <c:pt idx="7">
                  <c:v>3</c:v>
                </c:pt>
                <c:pt idx="8">
                  <c:v>30</c:v>
                </c:pt>
                <c:pt idx="9">
                  <c:v>242</c:v>
                </c:pt>
                <c:pt idx="10">
                  <c:v>877</c:v>
                </c:pt>
                <c:pt idx="11">
                  <c:v>896</c:v>
                </c:pt>
              </c:numCache>
            </c:numRef>
          </c:val>
        </c:ser>
        <c:ser>
          <c:idx val="15"/>
          <c:order val="15"/>
          <c:tx>
            <c:v>2024 Therms</c:v>
          </c:tx>
          <c:spPr>
            <a:ln w="25400">
              <a:solidFill>
                <a:srgbClr val="C00000"/>
              </a:solidFill>
              <a:prstDash val="dash"/>
            </a:ln>
          </c:spPr>
          <c:marker>
            <c:symbol val="diamond"/>
            <c:size val="5"/>
            <c:spPr>
              <a:solidFill>
                <a:srgbClr val="C00000"/>
              </a:solidFill>
              <a:ln>
                <a:solidFill>
                  <a:srgbClr val="C00000"/>
                </a:solidFill>
              </a:ln>
            </c:spPr>
          </c:marker>
          <c:val>
            <c:numRef>
              <c:f>'2024 Data'!$B$8:$B$19</c:f>
              <c:numCache>
                <c:formatCode>General</c:formatCode>
                <c:ptCount val="12"/>
                <c:pt idx="0">
                  <c:v>206</c:v>
                </c:pt>
                <c:pt idx="1">
                  <c:v>87</c:v>
                </c:pt>
                <c:pt idx="2">
                  <c:v>72</c:v>
                </c:pt>
                <c:pt idx="3">
                  <c:v>33</c:v>
                </c:pt>
                <c:pt idx="4">
                  <c:v>22</c:v>
                </c:pt>
                <c:pt idx="5">
                  <c:v>5</c:v>
                </c:pt>
                <c:pt idx="6">
                  <c:v>5</c:v>
                </c:pt>
                <c:pt idx="7">
                  <c:v>7</c:v>
                </c:pt>
                <c:pt idx="8">
                  <c:v>5</c:v>
                </c:pt>
                <c:pt idx="9">
                  <c:v>15</c:v>
                </c:pt>
                <c:pt idx="10">
                  <c:v>120</c:v>
                </c:pt>
                <c:pt idx="11">
                  <c:v>161</c:v>
                </c:pt>
              </c:numCache>
            </c:numRef>
          </c:val>
        </c:ser>
        <c:ser>
          <c:idx val="16"/>
          <c:order val="16"/>
          <c:tx>
            <c:v>2025 kWh</c:v>
          </c:tx>
          <c:spPr>
            <a:ln w="25400">
              <a:solidFill>
                <a:srgbClr val="00B0F0"/>
              </a:solidFill>
            </a:ln>
          </c:spPr>
          <c:marker>
            <c:symbol val="diamond"/>
            <c:size val="5"/>
            <c:spPr>
              <a:solidFill>
                <a:srgbClr val="00B0F0"/>
              </a:solidFill>
              <a:ln>
                <a:solidFill>
                  <a:srgbClr val="00B0F0"/>
                </a:solidFill>
              </a:ln>
            </c:spPr>
          </c:marker>
          <c:val>
            <c:numRef>
              <c:f>'2025 Data'!$I$8:$I$19</c:f>
              <c:numCache>
                <c:formatCode>General</c:formatCode>
                <c:ptCount val="12"/>
                <c:pt idx="0">
                  <c:v>535</c:v>
                </c:pt>
                <c:pt idx="1">
                  <c:v>416</c:v>
                </c:pt>
                <c:pt idx="2">
                  <c:v>427</c:v>
                </c:pt>
              </c:numCache>
            </c:numRef>
          </c:val>
        </c:ser>
        <c:ser>
          <c:idx val="17"/>
          <c:order val="17"/>
          <c:tx>
            <c:v>2025 Cooling</c:v>
          </c:tx>
          <c:spPr>
            <a:ln w="25400">
              <a:solidFill>
                <a:srgbClr val="00B0F0"/>
              </a:solidFill>
              <a:prstDash val="sysDot"/>
            </a:ln>
          </c:spPr>
          <c:marker>
            <c:symbol val="diamond"/>
            <c:size val="5"/>
            <c:spPr>
              <a:solidFill>
                <a:srgbClr val="00B0F0"/>
              </a:solidFill>
              <a:ln>
                <a:solidFill>
                  <a:srgbClr val="00B0F0"/>
                </a:solidFill>
                <a:prstDash val="dash"/>
              </a:ln>
            </c:spPr>
          </c:marker>
          <c:val>
            <c:numRef>
              <c:f>'2025 Data'!$D$8:$D$19</c:f>
              <c:numCache>
                <c:formatCode>General</c:formatCode>
                <c:ptCount val="12"/>
                <c:pt idx="0">
                  <c:v>0</c:v>
                </c:pt>
                <c:pt idx="1">
                  <c:v>0</c:v>
                </c:pt>
                <c:pt idx="2">
                  <c:v>0</c:v>
                </c:pt>
              </c:numCache>
            </c:numRef>
          </c:val>
        </c:ser>
        <c:ser>
          <c:idx val="18"/>
          <c:order val="18"/>
          <c:tx>
            <c:v>2025 Heating</c:v>
          </c:tx>
          <c:spPr>
            <a:ln w="25400">
              <a:solidFill>
                <a:srgbClr val="00B0F0"/>
              </a:solidFill>
              <a:prstDash val="sysDash"/>
            </a:ln>
          </c:spPr>
          <c:marker>
            <c:symbol val="diamond"/>
            <c:size val="5"/>
            <c:spPr>
              <a:solidFill>
                <a:srgbClr val="00B0F0"/>
              </a:solidFill>
              <a:ln>
                <a:solidFill>
                  <a:srgbClr val="00B0F0"/>
                </a:solidFill>
              </a:ln>
            </c:spPr>
          </c:marker>
          <c:val>
            <c:numRef>
              <c:f>'2025 Data'!$C$8:$C$19</c:f>
              <c:numCache>
                <c:formatCode>General</c:formatCode>
                <c:ptCount val="12"/>
                <c:pt idx="0">
                  <c:v>1275</c:v>
                </c:pt>
                <c:pt idx="1">
                  <c:v>974</c:v>
                </c:pt>
                <c:pt idx="2">
                  <c:v>640</c:v>
                </c:pt>
              </c:numCache>
            </c:numRef>
          </c:val>
        </c:ser>
        <c:ser>
          <c:idx val="19"/>
          <c:order val="19"/>
          <c:tx>
            <c:v>2025 Therms</c:v>
          </c:tx>
          <c:spPr>
            <a:ln w="25400">
              <a:solidFill>
                <a:srgbClr val="00B0F0"/>
              </a:solidFill>
              <a:prstDash val="dash"/>
            </a:ln>
          </c:spPr>
          <c:marker>
            <c:symbol val="diamond"/>
            <c:size val="5"/>
            <c:spPr>
              <a:solidFill>
                <a:srgbClr val="00B0F0"/>
              </a:solidFill>
              <a:ln>
                <a:solidFill>
                  <a:srgbClr val="00B0F0"/>
                </a:solidFill>
              </a:ln>
            </c:spPr>
          </c:marker>
          <c:val>
            <c:numRef>
              <c:f>'2025 Data'!$B$8:$B$19</c:f>
              <c:numCache>
                <c:formatCode>General</c:formatCode>
                <c:ptCount val="12"/>
                <c:pt idx="0">
                  <c:v>175</c:v>
                </c:pt>
                <c:pt idx="1">
                  <c:v>142</c:v>
                </c:pt>
                <c:pt idx="2">
                  <c:v>62</c:v>
                </c:pt>
              </c:numCache>
            </c:numRef>
          </c:val>
        </c:ser>
        <c:marker val="1"/>
        <c:axId val="181927296"/>
        <c:axId val="181925376"/>
      </c:lineChart>
      <c:dateAx>
        <c:axId val="181927296"/>
        <c:scaling>
          <c:orientation val="minMax"/>
        </c:scaling>
        <c:axPos val="b"/>
        <c:majorGridlines/>
        <c:title>
          <c:tx>
            <c:rich>
              <a:bodyPr/>
              <a:lstStyle/>
              <a:p>
                <a:pPr>
                  <a:defRPr/>
                </a:pPr>
                <a:endParaRPr lang="en-US"/>
              </a:p>
              <a:p>
                <a:pPr>
                  <a:defRPr/>
                </a:pPr>
                <a:endParaRPr lang="en-US"/>
              </a:p>
            </c:rich>
          </c:tx>
          <c:layout/>
        </c:title>
        <c:tickLblPos val="nextTo"/>
        <c:crossAx val="181925376"/>
        <c:crossesAt val="-300"/>
        <c:lblOffset val="100"/>
        <c:baseTimeUnit val="days"/>
      </c:dateAx>
      <c:valAx>
        <c:axId val="181925376"/>
        <c:scaling>
          <c:orientation val="minMax"/>
          <c:max val="1300"/>
          <c:min val="0"/>
        </c:scaling>
        <c:axPos val="l"/>
        <c:majorGridlines/>
        <c:numFmt formatCode="General" sourceLinked="1"/>
        <c:tickLblPos val="low"/>
        <c:crossAx val="181927296"/>
        <c:crosses val="autoZero"/>
        <c:crossBetween val="midCat"/>
        <c:majorUnit val="200"/>
      </c:valAx>
    </c:plotArea>
    <c:legend>
      <c:legendPos val="r"/>
      <c:layout>
        <c:manualLayout>
          <c:xMode val="edge"/>
          <c:yMode val="edge"/>
          <c:x val="0.87591313816676553"/>
          <c:y val="0.10585641911040188"/>
          <c:w val="9.2054244098443205E-2"/>
          <c:h val="0.80101498940539406"/>
        </c:manualLayout>
      </c:layout>
      <c:spPr>
        <a:ln>
          <a:noFill/>
          <a:prstDash val="dash"/>
        </a:ln>
      </c:spPr>
    </c:legend>
    <c:plotVisOnly val="1"/>
    <c:dispBlanksAs val="gap"/>
  </c:chart>
  <c:spPr>
    <a:ln>
      <a:noFill/>
    </a:ln>
  </c:spPr>
  <c:printSettings>
    <c:headerFooter/>
    <c:pageMargins b="0.75000000000001177" l="0.70000000000000062" r="0.70000000000000062" t="0.750000000000011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3200" u="sng"/>
              <a:t>Kilowatt-hours by</a:t>
            </a:r>
            <a:r>
              <a:rPr lang="en-US" sz="3200" u="sng" baseline="0"/>
              <a:t> Year</a:t>
            </a:r>
          </a:p>
        </c:rich>
      </c:tx>
      <c:layout>
        <c:manualLayout>
          <c:xMode val="edge"/>
          <c:yMode val="edge"/>
          <c:x val="0.34748990968274779"/>
          <c:y val="2.6258205689278464E-2"/>
        </c:manualLayout>
      </c:layout>
    </c:title>
    <c:plotArea>
      <c:layout>
        <c:manualLayout>
          <c:layoutTarget val="inner"/>
          <c:xMode val="edge"/>
          <c:yMode val="edge"/>
          <c:x val="1.007049345417925E-2"/>
          <c:y val="0.12088109695670192"/>
          <c:w val="0.97784491440082144"/>
          <c:h val="0.7851791924178908"/>
        </c:manualLayout>
      </c:layout>
      <c:barChart>
        <c:barDir val="col"/>
        <c:grouping val="clustered"/>
        <c:ser>
          <c:idx val="2"/>
          <c:order val="0"/>
          <c:tx>
            <c:strRef>
              <c:f>'Elec &amp; Gas Data'!$E$14</c:f>
              <c:strCache>
                <c:ptCount val="1"/>
                <c:pt idx="0">
                  <c:v>kWh</c:v>
                </c:pt>
              </c:strCache>
            </c:strRef>
          </c:tx>
          <c:spPr>
            <a:solidFill>
              <a:srgbClr val="4F81BD"/>
            </a:solidFill>
            <a:ln>
              <a:solidFill>
                <a:srgbClr val="4F81BD"/>
              </a:solidFill>
            </a:ln>
          </c:spPr>
          <c:cat>
            <c:numRef>
              <c:f>'Elec &amp; Gas Data'!$A$15:$A$31</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'Elec &amp; Gas Data'!$E$15:$E$31</c:f>
              <c:numCache>
                <c:formatCode>0</c:formatCode>
                <c:ptCount val="17"/>
                <c:pt idx="0">
                  <c:v>9875</c:v>
                </c:pt>
                <c:pt idx="1">
                  <c:v>8889</c:v>
                </c:pt>
                <c:pt idx="2">
                  <c:v>8457</c:v>
                </c:pt>
                <c:pt idx="3">
                  <c:v>9112</c:v>
                </c:pt>
                <c:pt idx="4">
                  <c:v>8269</c:v>
                </c:pt>
                <c:pt idx="5">
                  <c:v>9113</c:v>
                </c:pt>
                <c:pt idx="6">
                  <c:v>8179</c:v>
                </c:pt>
                <c:pt idx="7">
                  <c:v>7266</c:v>
                </c:pt>
                <c:pt idx="8">
                  <c:v>7518</c:v>
                </c:pt>
                <c:pt idx="9">
                  <c:v>7511</c:v>
                </c:pt>
                <c:pt idx="10">
                  <c:v>8843</c:v>
                </c:pt>
                <c:pt idx="11">
                  <c:v>7466</c:v>
                </c:pt>
                <c:pt idx="12">
                  <c:v>7568</c:v>
                </c:pt>
                <c:pt idx="13">
                  <c:v>7612</c:v>
                </c:pt>
                <c:pt idx="14">
                  <c:v>6700</c:v>
                </c:pt>
                <c:pt idx="15">
                  <c:v>5590</c:v>
                </c:pt>
                <c:pt idx="16">
                  <c:v>6295</c:v>
                </c:pt>
              </c:numCache>
            </c:numRef>
          </c:val>
        </c:ser>
        <c:dLbls>
          <c:showVal val="1"/>
        </c:dLbls>
        <c:overlap val="-25"/>
        <c:axId val="181851264"/>
        <c:axId val="181852800"/>
      </c:barChart>
      <c:catAx>
        <c:axId val="181851264"/>
        <c:scaling>
          <c:orientation val="minMax"/>
        </c:scaling>
        <c:axPos val="b"/>
        <c:numFmt formatCode="General" sourceLinked="1"/>
        <c:majorTickMark val="none"/>
        <c:tickLblPos val="nextTo"/>
        <c:crossAx val="181852800"/>
        <c:crosses val="autoZero"/>
        <c:auto val="1"/>
        <c:lblAlgn val="ctr"/>
        <c:lblOffset val="100"/>
      </c:catAx>
      <c:valAx>
        <c:axId val="181852800"/>
        <c:scaling>
          <c:orientation val="minMax"/>
          <c:max val="10000"/>
          <c:min val="0"/>
        </c:scaling>
        <c:delete val="1"/>
        <c:axPos val="l"/>
        <c:numFmt formatCode="0" sourceLinked="0"/>
        <c:majorTickMark val="none"/>
        <c:tickLblPos val="none"/>
        <c:crossAx val="181851264"/>
        <c:crossesAt val="1"/>
        <c:crossBetween val="between"/>
        <c:majorUnit val="1000"/>
      </c:valAx>
    </c:plotArea>
    <c:plotVisOnly val="1"/>
  </c:chart>
  <c:spPr>
    <a:ln>
      <a:noFill/>
    </a:ln>
  </c:spPr>
  <c:printSettings>
    <c:headerFooter/>
    <c:pageMargins b="0.75000000000000744" l="0.70000000000000062" r="0.70000000000000062" t="0.750000000000007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u="sng"/>
            </a:pPr>
            <a:r>
              <a:rPr lang="en-US" sz="3200" u="sng"/>
              <a:t>Natural Gas Therms by Year</a:t>
            </a:r>
          </a:p>
        </c:rich>
      </c:tx>
      <c:layout>
        <c:manualLayout>
          <c:xMode val="edge"/>
          <c:yMode val="edge"/>
          <c:x val="0.31377136015098206"/>
          <c:y val="3.8461538461538464E-2"/>
        </c:manualLayout>
      </c:layout>
    </c:title>
    <c:plotArea>
      <c:layout/>
      <c:barChart>
        <c:barDir val="col"/>
        <c:grouping val="clustered"/>
        <c:ser>
          <c:idx val="2"/>
          <c:order val="0"/>
          <c:tx>
            <c:strRef>
              <c:f>'Elec &amp; Gas Data'!#REF!</c:f>
              <c:strCache>
                <c:ptCount val="1"/>
                <c:pt idx="0">
                  <c:v>#REF!</c:v>
                </c:pt>
              </c:strCache>
            </c:strRef>
          </c:tx>
          <c:spPr>
            <a:solidFill>
              <a:srgbClr val="C00000"/>
            </a:solidFill>
            <a:ln>
              <a:solidFill>
                <a:srgbClr val="C00000"/>
              </a:solidFill>
            </a:ln>
          </c:spPr>
          <c:cat>
            <c:numRef>
              <c:f>'Elec &amp; Gas Data'!$A$15:$A$31</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'Elec &amp; Gas Data'!$B$15:$B$31</c:f>
              <c:numCache>
                <c:formatCode>0</c:formatCode>
                <c:ptCount val="17"/>
                <c:pt idx="0">
                  <c:v>773</c:v>
                </c:pt>
                <c:pt idx="1">
                  <c:v>805</c:v>
                </c:pt>
                <c:pt idx="2">
                  <c:v>851</c:v>
                </c:pt>
                <c:pt idx="3">
                  <c:v>910</c:v>
                </c:pt>
                <c:pt idx="4">
                  <c:v>776</c:v>
                </c:pt>
                <c:pt idx="5">
                  <c:v>1053</c:v>
                </c:pt>
                <c:pt idx="6">
                  <c:v>1122</c:v>
                </c:pt>
                <c:pt idx="7">
                  <c:v>994</c:v>
                </c:pt>
                <c:pt idx="8">
                  <c:v>878</c:v>
                </c:pt>
                <c:pt idx="9">
                  <c:v>861</c:v>
                </c:pt>
                <c:pt idx="10">
                  <c:v>1003</c:v>
                </c:pt>
                <c:pt idx="11">
                  <c:v>1065</c:v>
                </c:pt>
                <c:pt idx="12">
                  <c:v>1041</c:v>
                </c:pt>
                <c:pt idx="13">
                  <c:v>939</c:v>
                </c:pt>
                <c:pt idx="14">
                  <c:v>904</c:v>
                </c:pt>
                <c:pt idx="15">
                  <c:v>865</c:v>
                </c:pt>
                <c:pt idx="16">
                  <c:v>738</c:v>
                </c:pt>
              </c:numCache>
            </c:numRef>
          </c:val>
        </c:ser>
        <c:dLbls>
          <c:showVal val="1"/>
        </c:dLbls>
        <c:overlap val="-25"/>
        <c:axId val="181938432"/>
        <c:axId val="181948416"/>
      </c:barChart>
      <c:catAx>
        <c:axId val="181938432"/>
        <c:scaling>
          <c:orientation val="minMax"/>
        </c:scaling>
        <c:axPos val="b"/>
        <c:numFmt formatCode="General" sourceLinked="1"/>
        <c:majorTickMark val="none"/>
        <c:tickLblPos val="nextTo"/>
        <c:spPr>
          <a:noFill/>
        </c:spPr>
        <c:crossAx val="181948416"/>
        <c:crosses val="autoZero"/>
        <c:auto val="1"/>
        <c:lblAlgn val="ctr"/>
        <c:lblOffset val="100"/>
      </c:catAx>
      <c:valAx>
        <c:axId val="181948416"/>
        <c:scaling>
          <c:orientation val="minMax"/>
          <c:max val="1200"/>
          <c:min val="0"/>
        </c:scaling>
        <c:delete val="1"/>
        <c:axPos val="l"/>
        <c:numFmt formatCode="0" sourceLinked="0"/>
        <c:majorTickMark val="none"/>
        <c:tickLblPos val="none"/>
        <c:crossAx val="181938432"/>
        <c:crossesAt val="1"/>
        <c:crossBetween val="between"/>
        <c:majorUnit val="200"/>
      </c:valAx>
    </c:plotArea>
    <c:plotVisOnly val="1"/>
  </c:chart>
  <c:spPr>
    <a:ln>
      <a:noFill/>
    </a:ln>
  </c:spPr>
  <c:printSettings>
    <c:headerFooter/>
    <c:pageMargins b="0.75000000000000766" l="0.70000000000000062" r="0.70000000000000062" t="0.750000000000007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sng" strike="noStrike" kern="1200" baseline="0">
                <a:solidFill>
                  <a:sysClr val="windowText" lastClr="000000"/>
                </a:solidFill>
                <a:latin typeface="+mn-lt"/>
                <a:ea typeface="+mn-ea"/>
                <a:cs typeface="+mn-cs"/>
              </a:defRPr>
            </a:pPr>
            <a:r>
              <a:rPr lang="en-US" sz="2000" b="1" i="0" u="sng" baseline="0"/>
              <a:t>Predicted Monthly kWh Solar Production - Total (black) and per Array (colored)</a:t>
            </a:r>
            <a:endParaRPr lang="en-US" sz="2000" u="sng" baseline="0"/>
          </a:p>
        </c:rich>
      </c:tx>
      <c:layout>
        <c:manualLayout>
          <c:xMode val="edge"/>
          <c:yMode val="edge"/>
          <c:x val="0.15554783219525312"/>
          <c:y val="5.7559658821398733E-2"/>
        </c:manualLayout>
      </c:layout>
    </c:title>
    <c:plotArea>
      <c:layout>
        <c:manualLayout>
          <c:layoutTarget val="inner"/>
          <c:xMode val="edge"/>
          <c:yMode val="edge"/>
          <c:x val="0"/>
          <c:y val="0.16089168384153324"/>
          <c:w val="0.99897119341563789"/>
          <c:h val="0.78530148496538599"/>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ser>
          <c:idx val="6"/>
          <c:order val="1"/>
          <c:tx>
            <c:strRef>
              <c:f>'Pred Prod'!$D$12</c:f>
              <c:strCache>
                <c:ptCount val="1"/>
                <c:pt idx="0">
                  <c:v>2x400@192°</c:v>
                </c:pt>
              </c:strCache>
            </c:strRef>
          </c:tx>
          <c:spPr>
            <a:solidFill>
              <a:srgbClr val="C0000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Prod'!$D$14:$D$25</c:f>
              <c:numCache>
                <c:formatCode>General</c:formatCode>
                <c:ptCount val="12"/>
                <c:pt idx="0">
                  <c:v>75</c:v>
                </c:pt>
                <c:pt idx="1">
                  <c:v>84</c:v>
                </c:pt>
                <c:pt idx="2">
                  <c:v>108</c:v>
                </c:pt>
                <c:pt idx="3">
                  <c:v>114</c:v>
                </c:pt>
                <c:pt idx="4">
                  <c:v>117</c:v>
                </c:pt>
                <c:pt idx="5">
                  <c:v>119</c:v>
                </c:pt>
                <c:pt idx="6">
                  <c:v>115</c:v>
                </c:pt>
                <c:pt idx="7">
                  <c:v>115</c:v>
                </c:pt>
                <c:pt idx="8">
                  <c:v>106</c:v>
                </c:pt>
                <c:pt idx="9">
                  <c:v>91</c:v>
                </c:pt>
                <c:pt idx="10">
                  <c:v>81</c:v>
                </c:pt>
                <c:pt idx="11">
                  <c:v>74</c:v>
                </c:pt>
              </c:numCache>
            </c:numRef>
          </c:val>
        </c:ser>
        <c:ser>
          <c:idx val="5"/>
          <c:order val="2"/>
          <c:tx>
            <c:strRef>
              <c:f>'Pred Prod'!$C$12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Prod'!$C$14:$C$25</c:f>
              <c:numCache>
                <c:formatCode>General</c:formatCode>
                <c:ptCount val="12"/>
                <c:pt idx="0">
                  <c:v>208</c:v>
                </c:pt>
                <c:pt idx="1">
                  <c:v>254</c:v>
                </c:pt>
                <c:pt idx="2">
                  <c:v>369</c:v>
                </c:pt>
                <c:pt idx="3">
                  <c:v>422</c:v>
                </c:pt>
                <c:pt idx="4">
                  <c:v>485</c:v>
                </c:pt>
                <c:pt idx="5">
                  <c:v>496</c:v>
                </c:pt>
                <c:pt idx="6">
                  <c:v>488</c:v>
                </c:pt>
                <c:pt idx="7">
                  <c:v>454</c:v>
                </c:pt>
                <c:pt idx="8">
                  <c:v>378</c:v>
                </c:pt>
                <c:pt idx="9">
                  <c:v>287</c:v>
                </c:pt>
                <c:pt idx="10">
                  <c:v>228</c:v>
                </c:pt>
                <c:pt idx="11">
                  <c:v>197</c:v>
                </c:pt>
              </c:numCache>
            </c:numRef>
          </c:val>
        </c:ser>
        <c:ser>
          <c:idx val="0"/>
          <c:order val="3"/>
          <c:tx>
            <c:strRef>
              <c:f>'Pred Prod'!$E$12</c:f>
              <c:strCache>
                <c:ptCount val="1"/>
                <c:pt idx="0">
                  <c:v>8x400@282°</c:v>
                </c:pt>
              </c:strCache>
            </c:strRef>
          </c:tx>
          <c:spPr>
            <a:solidFill>
              <a:schemeClr val="accent1"/>
            </a:solidFill>
            <a:ln>
              <a:noFill/>
            </a:ln>
          </c:spPr>
          <c:val>
            <c:numRef>
              <c:f>'Pred Prod'!$E$14:$E$25</c:f>
              <c:numCache>
                <c:formatCode>General</c:formatCode>
                <c:ptCount val="12"/>
                <c:pt idx="0">
                  <c:v>161</c:v>
                </c:pt>
                <c:pt idx="1">
                  <c:v>215</c:v>
                </c:pt>
                <c:pt idx="2">
                  <c:v>320</c:v>
                </c:pt>
                <c:pt idx="3">
                  <c:v>385</c:v>
                </c:pt>
                <c:pt idx="4">
                  <c:v>424</c:v>
                </c:pt>
                <c:pt idx="5">
                  <c:v>458</c:v>
                </c:pt>
                <c:pt idx="6">
                  <c:v>406</c:v>
                </c:pt>
                <c:pt idx="7">
                  <c:v>387</c:v>
                </c:pt>
                <c:pt idx="8">
                  <c:v>328</c:v>
                </c:pt>
                <c:pt idx="9">
                  <c:v>242</c:v>
                </c:pt>
                <c:pt idx="10">
                  <c:v>181</c:v>
                </c:pt>
                <c:pt idx="11">
                  <c:v>145</c:v>
                </c:pt>
              </c:numCache>
            </c:numRef>
          </c:val>
        </c:ser>
        <c:dLbls>
          <c:showVal val="1"/>
        </c:dLbls>
        <c:overlap val="-25"/>
        <c:axId val="182387456"/>
        <c:axId val="182388992"/>
      </c:barChart>
      <c:catAx>
        <c:axId val="182387456"/>
        <c:scaling>
          <c:orientation val="minMax"/>
        </c:scaling>
        <c:axPos val="b"/>
        <c:majorTickMark val="none"/>
        <c:tickLblPos val="nextTo"/>
        <c:spPr>
          <a:noFill/>
          <a:ln>
            <a:solidFill>
              <a:schemeClr val="tx1"/>
            </a:solidFill>
          </a:ln>
        </c:spPr>
        <c:crossAx val="182388992"/>
        <c:crossesAt val="-300"/>
        <c:auto val="1"/>
        <c:lblAlgn val="ctr"/>
        <c:lblOffset val="100"/>
      </c:catAx>
      <c:valAx>
        <c:axId val="182388992"/>
        <c:scaling>
          <c:orientation val="minMax"/>
          <c:max val="1200"/>
          <c:min val="-300"/>
        </c:scaling>
        <c:delete val="1"/>
        <c:axPos val="l"/>
        <c:numFmt formatCode="General" sourceLinked="1"/>
        <c:majorTickMark val="none"/>
        <c:tickLblPos val="none"/>
        <c:crossAx val="182387456"/>
        <c:crosses val="autoZero"/>
        <c:crossBetween val="between"/>
        <c:majorUnit val="300"/>
      </c:valAx>
    </c:plotArea>
    <c:legend>
      <c:legendPos val="t"/>
      <c:layout>
        <c:manualLayout>
          <c:xMode val="edge"/>
          <c:yMode val="edge"/>
          <c:x val="0.30588827719149969"/>
          <c:y val="0.12935567610456117"/>
          <c:w val="0.3778424358783925"/>
          <c:h val="5.1272877803026334E-2"/>
        </c:manualLayout>
      </c:layout>
      <c:spPr>
        <a:ln>
          <a:noFill/>
          <a:prstDash val="dash"/>
        </a:ln>
      </c:spPr>
      <c:txPr>
        <a:bodyPr/>
        <a:lstStyle/>
        <a:p>
          <a:pPr>
            <a:defRPr sz="1400" baseline="0"/>
          </a:pPr>
          <a:endParaRPr lang="en-US"/>
        </a:p>
      </c:txPr>
    </c:legend>
    <c:plotVisOnly val="1"/>
  </c:chart>
  <c:spPr>
    <a:ln>
      <a:noFill/>
    </a:ln>
  </c:spPr>
  <c:printSettings>
    <c:headerFooter/>
    <c:pageMargins b="0.75000000000001177" l="0.70000000000000062" r="0.70000000000000062" t="0.750000000000011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u="sng"/>
            </a:pPr>
            <a:r>
              <a:rPr lang="en-US" sz="2000" u="sng"/>
              <a:t>Capacity</a:t>
            </a:r>
            <a:r>
              <a:rPr lang="en-US" sz="2000" u="sng" baseline="0"/>
              <a:t> Factor by Month - Total (black) and per Array (colored)</a:t>
            </a:r>
          </a:p>
        </c:rich>
      </c:tx>
      <c:layout/>
    </c:title>
    <c:plotArea>
      <c:layout>
        <c:manualLayout>
          <c:layoutTarget val="inner"/>
          <c:xMode val="edge"/>
          <c:yMode val="edge"/>
          <c:x val="3.1007751937984496E-3"/>
          <c:y val="0.15859958780320518"/>
          <c:w val="0.99483204134366177"/>
          <c:h val="0.7853564445383926"/>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Prod'!$B$34:$B$45</c:f>
              <c:numCache>
                <c:formatCode>0.0%</c:formatCode>
                <c:ptCount val="12"/>
                <c:pt idx="0">
                  <c:v>8.2885304659498213E-2</c:v>
                </c:pt>
                <c:pt idx="1">
                  <c:v>0.11429398148148148</c:v>
                </c:pt>
                <c:pt idx="2">
                  <c:v>0.14878285543608125</c:v>
                </c:pt>
                <c:pt idx="3">
                  <c:v>0.17766203703703703</c:v>
                </c:pt>
                <c:pt idx="4">
                  <c:v>0.19153225806451613</c:v>
                </c:pt>
                <c:pt idx="5">
                  <c:v>0.20698302469135801</c:v>
                </c:pt>
                <c:pt idx="6">
                  <c:v>0.18835872162485065</c:v>
                </c:pt>
                <c:pt idx="7">
                  <c:v>0.1784647550776583</c:v>
                </c:pt>
                <c:pt idx="8">
                  <c:v>0.1566358024691358</c:v>
                </c:pt>
                <c:pt idx="9">
                  <c:v>0.11574074074074074</c:v>
                </c:pt>
                <c:pt idx="10">
                  <c:v>9.4521604938271608E-2</c:v>
                </c:pt>
                <c:pt idx="11">
                  <c:v>7.765830346475508E-2</c:v>
                </c:pt>
              </c:numCache>
            </c:numRef>
          </c:val>
        </c:ser>
        <c:ser>
          <c:idx val="6"/>
          <c:order val="1"/>
          <c:tx>
            <c:strRef>
              <c:f>'Pred Prod'!$D$12</c:f>
              <c:strCache>
                <c:ptCount val="1"/>
                <c:pt idx="0">
                  <c:v>2x400@192°</c:v>
                </c:pt>
              </c:strCache>
            </c:strRef>
          </c:tx>
          <c:spPr>
            <a:solidFill>
              <a:srgbClr val="C00000"/>
            </a:solidFill>
            <a:ln w="25400">
              <a:noFill/>
              <a:prstDash val="solid"/>
            </a:ln>
          </c:spPr>
          <c:dLbls>
            <c:txPr>
              <a:bodyPr/>
              <a:lstStyle/>
              <a:p>
                <a:pPr>
                  <a:defRPr sz="1000" baseline="0"/>
                </a:pPr>
                <a:endParaRPr lang="en-US"/>
              </a:p>
            </c:txPr>
            <c:showVal val="1"/>
          </c:dLbls>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Prod'!$C$34:$C$45</c:f>
              <c:numCache>
                <c:formatCode>0.0%</c:formatCode>
                <c:ptCount val="12"/>
                <c:pt idx="0">
                  <c:v>0.12600806451612903</c:v>
                </c:pt>
                <c:pt idx="1">
                  <c:v>0.15625</c:v>
                </c:pt>
                <c:pt idx="2">
                  <c:v>0.18145161290322581</c:v>
                </c:pt>
                <c:pt idx="3">
                  <c:v>0.19791666666666666</c:v>
                </c:pt>
                <c:pt idx="4">
                  <c:v>0.19657258064516128</c:v>
                </c:pt>
                <c:pt idx="5">
                  <c:v>0.20659722222222221</c:v>
                </c:pt>
                <c:pt idx="6">
                  <c:v>0.19321236559139784</c:v>
                </c:pt>
                <c:pt idx="7">
                  <c:v>0.19321236559139784</c:v>
                </c:pt>
                <c:pt idx="8">
                  <c:v>0.18402777777777779</c:v>
                </c:pt>
                <c:pt idx="9">
                  <c:v>0.15288978494623656</c:v>
                </c:pt>
                <c:pt idx="10">
                  <c:v>0.140625</c:v>
                </c:pt>
                <c:pt idx="11">
                  <c:v>0.12432795698924731</c:v>
                </c:pt>
              </c:numCache>
            </c:numRef>
          </c:val>
        </c:ser>
        <c:ser>
          <c:idx val="5"/>
          <c:order val="2"/>
          <c:tx>
            <c:strRef>
              <c:f>'Pred Prod'!$C$12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Prod'!$D$34:$D$45</c:f>
              <c:numCache>
                <c:formatCode>0.0%</c:formatCode>
                <c:ptCount val="12"/>
                <c:pt idx="0">
                  <c:v>8.7365591397849468E-2</c:v>
                </c:pt>
                <c:pt idx="1">
                  <c:v>0.11811755952380952</c:v>
                </c:pt>
                <c:pt idx="2">
                  <c:v>0.15498991935483872</c:v>
                </c:pt>
                <c:pt idx="3">
                  <c:v>0.18315972222222221</c:v>
                </c:pt>
                <c:pt idx="4">
                  <c:v>0.20371303763440859</c:v>
                </c:pt>
                <c:pt idx="5">
                  <c:v>0.21527777777777779</c:v>
                </c:pt>
                <c:pt idx="6">
                  <c:v>0.2049731182795699</c:v>
                </c:pt>
                <c:pt idx="7">
                  <c:v>0.19069220430107528</c:v>
                </c:pt>
                <c:pt idx="8">
                  <c:v>0.1640625</c:v>
                </c:pt>
                <c:pt idx="9">
                  <c:v>0.12054771505376344</c:v>
                </c:pt>
                <c:pt idx="10">
                  <c:v>9.8958333333333329E-2</c:v>
                </c:pt>
                <c:pt idx="11">
                  <c:v>8.2745295698924734E-2</c:v>
                </c:pt>
              </c:numCache>
            </c:numRef>
          </c:val>
        </c:ser>
        <c:ser>
          <c:idx val="0"/>
          <c:order val="3"/>
          <c:tx>
            <c:strRef>
              <c:f>'Pred Prod'!$E$12</c:f>
              <c:strCache>
                <c:ptCount val="1"/>
                <c:pt idx="0">
                  <c:v>8x400@282°</c:v>
                </c:pt>
              </c:strCache>
            </c:strRef>
          </c:tx>
          <c:spPr>
            <a:solidFill>
              <a:srgbClr val="0070C0"/>
            </a:solidFill>
            <a:ln>
              <a:noFill/>
            </a:ln>
          </c:spPr>
          <c:val>
            <c:numRef>
              <c:f>'Pred Prod'!$E$34:$E$45</c:f>
              <c:numCache>
                <c:formatCode>0.0%</c:formatCode>
                <c:ptCount val="12"/>
                <c:pt idx="0">
                  <c:v>6.762432795698925E-2</c:v>
                </c:pt>
                <c:pt idx="1">
                  <c:v>9.9981398809523808E-2</c:v>
                </c:pt>
                <c:pt idx="2">
                  <c:v>0.13440860215053763</c:v>
                </c:pt>
                <c:pt idx="3">
                  <c:v>0.16710069444444445</c:v>
                </c:pt>
                <c:pt idx="4">
                  <c:v>0.17809139784946237</c:v>
                </c:pt>
                <c:pt idx="5">
                  <c:v>0.19878472222222221</c:v>
                </c:pt>
                <c:pt idx="6">
                  <c:v>0.17053091397849462</c:v>
                </c:pt>
                <c:pt idx="7">
                  <c:v>0.16255040322580644</c:v>
                </c:pt>
                <c:pt idx="8">
                  <c:v>0.1423611111111111</c:v>
                </c:pt>
                <c:pt idx="9">
                  <c:v>0.10164650537634409</c:v>
                </c:pt>
                <c:pt idx="10">
                  <c:v>7.8559027777777776E-2</c:v>
                </c:pt>
                <c:pt idx="11">
                  <c:v>6.0903897849462367E-2</c:v>
                </c:pt>
              </c:numCache>
            </c:numRef>
          </c:val>
        </c:ser>
        <c:dLbls>
          <c:showVal val="1"/>
        </c:dLbls>
        <c:overlap val="-25"/>
        <c:axId val="182441856"/>
        <c:axId val="182443392"/>
      </c:barChart>
      <c:catAx>
        <c:axId val="182441856"/>
        <c:scaling>
          <c:orientation val="minMax"/>
        </c:scaling>
        <c:axPos val="b"/>
        <c:majorTickMark val="none"/>
        <c:tickLblPos val="nextTo"/>
        <c:spPr>
          <a:ln>
            <a:solidFill>
              <a:schemeClr val="tx1"/>
            </a:solidFill>
          </a:ln>
        </c:spPr>
        <c:crossAx val="182443392"/>
        <c:crossesAt val="-300"/>
        <c:auto val="1"/>
        <c:lblAlgn val="ctr"/>
        <c:lblOffset val="100"/>
      </c:catAx>
      <c:valAx>
        <c:axId val="182443392"/>
        <c:scaling>
          <c:orientation val="minMax"/>
          <c:max val="0.25"/>
          <c:min val="0"/>
        </c:scaling>
        <c:delete val="1"/>
        <c:axPos val="l"/>
        <c:numFmt formatCode="0.0%" sourceLinked="1"/>
        <c:majorTickMark val="none"/>
        <c:tickLblPos val="none"/>
        <c:crossAx val="182441856"/>
        <c:crosses val="autoZero"/>
        <c:crossBetween val="between"/>
        <c:majorUnit val="0.05"/>
      </c:valAx>
    </c:plotArea>
    <c:legend>
      <c:legendPos val="t"/>
      <c:layout>
        <c:manualLayout>
          <c:xMode val="edge"/>
          <c:yMode val="edge"/>
          <c:x val="0.30513048717928426"/>
          <c:y val="0.10508957353485177"/>
          <c:w val="0.37525588515500125"/>
          <c:h val="5.1272877803026334E-2"/>
        </c:manualLayout>
      </c:layout>
      <c:txPr>
        <a:bodyPr/>
        <a:lstStyle/>
        <a:p>
          <a:pPr>
            <a:defRPr sz="1400" baseline="0"/>
          </a:pPr>
          <a:endParaRPr lang="en-US"/>
        </a:p>
      </c:txPr>
    </c:legend>
    <c:plotVisOnly val="1"/>
  </c:chart>
  <c:spPr>
    <a:ln>
      <a:noFill/>
    </a:ln>
  </c:spPr>
  <c:printSettings>
    <c:headerFooter/>
    <c:pageMargins b="0.75000000000001199" l="0.70000000000000062" r="0.70000000000000062" t="0.7500000000000119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539750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501650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12700</xdr:colOff>
      <xdr:row>3</xdr:row>
      <xdr:rowOff>88900</xdr:rowOff>
    </xdr:from>
    <xdr:to>
      <xdr:col>20</xdr:col>
      <xdr:colOff>431800</xdr:colOff>
      <xdr:row>33</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35</xdr:row>
      <xdr:rowOff>88900</xdr:rowOff>
    </xdr:from>
    <xdr:to>
      <xdr:col>20</xdr:col>
      <xdr:colOff>431800</xdr:colOff>
      <xdr:row>65</xdr:row>
      <xdr:rowOff>177800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48</xdr:row>
      <xdr:rowOff>82550</xdr:rowOff>
    </xdr:from>
    <xdr:to>
      <xdr:col>14</xdr:col>
      <xdr:colOff>139700</xdr:colOff>
      <xdr:row>79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82550</xdr:colOff>
      <xdr:row>81</xdr:row>
      <xdr:rowOff>44450</xdr:rowOff>
    </xdr:from>
    <xdr:to>
      <xdr:col>14</xdr:col>
      <xdr:colOff>146050</xdr:colOff>
      <xdr:row>112</xdr:row>
      <xdr:rowOff>12700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8.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tabSelected="1" workbookViewId="0">
      <selection activeCell="A2" sqref="A2"/>
    </sheetView>
  </sheetViews>
  <sheetFormatPr defaultRowHeight="14.5"/>
  <cols>
    <col min="1" max="1" width="21.6328125" customWidth="1"/>
  </cols>
  <sheetData>
    <row r="1" spans="1:2" ht="25" customHeight="1">
      <c r="A1" s="59" t="s">
        <v>238</v>
      </c>
    </row>
    <row r="2" spans="1:2" ht="15" customHeight="1">
      <c r="A2" s="11"/>
    </row>
    <row r="3" spans="1:2" ht="15" customHeight="1">
      <c r="A3" s="130" t="s">
        <v>206</v>
      </c>
    </row>
    <row r="4" spans="1:2" ht="15" customHeight="1">
      <c r="A4" s="130" t="s">
        <v>138</v>
      </c>
    </row>
    <row r="5" spans="1:2" ht="15" customHeight="1">
      <c r="A5" s="130" t="s">
        <v>196</v>
      </c>
    </row>
    <row r="6" spans="1:2" ht="15" customHeight="1">
      <c r="A6" s="130" t="s">
        <v>234</v>
      </c>
    </row>
    <row r="7" spans="1:2" ht="15" customHeight="1">
      <c r="A7" s="130" t="s">
        <v>137</v>
      </c>
    </row>
    <row r="8" spans="1:2" ht="15" customHeight="1">
      <c r="A8" s="50"/>
    </row>
    <row r="9" spans="1:2" ht="15" customHeight="1">
      <c r="A9" s="22" t="s">
        <v>54</v>
      </c>
      <c r="B9" s="22" t="s">
        <v>55</v>
      </c>
    </row>
    <row r="10" spans="1:2" ht="15" customHeight="1">
      <c r="A10" s="5" t="s">
        <v>84</v>
      </c>
      <c r="B10" t="s">
        <v>135</v>
      </c>
    </row>
    <row r="11" spans="1:2" ht="15" customHeight="1">
      <c r="A11" s="5" t="s">
        <v>119</v>
      </c>
      <c r="B11" t="s">
        <v>140</v>
      </c>
    </row>
    <row r="12" spans="1:2" ht="15" customHeight="1">
      <c r="A12" s="5" t="s">
        <v>145</v>
      </c>
      <c r="B12" t="s">
        <v>247</v>
      </c>
    </row>
    <row r="13" spans="1:2" ht="15" customHeight="1">
      <c r="A13" s="5" t="s">
        <v>57</v>
      </c>
      <c r="B13" t="s">
        <v>58</v>
      </c>
    </row>
    <row r="14" spans="1:2" ht="15" customHeight="1">
      <c r="A14" s="5" t="s">
        <v>134</v>
      </c>
      <c r="B14" t="s">
        <v>83</v>
      </c>
    </row>
    <row r="15" spans="1:2" ht="15" customHeight="1">
      <c r="A15" s="5" t="s">
        <v>144</v>
      </c>
      <c r="B15" t="s">
        <v>136</v>
      </c>
    </row>
    <row r="16" spans="1:2" ht="15" customHeight="1">
      <c r="A16" s="5" t="s">
        <v>277</v>
      </c>
      <c r="B16" t="s">
        <v>278</v>
      </c>
    </row>
    <row r="17" spans="1:1" ht="15" customHeight="1">
      <c r="A17" s="5"/>
    </row>
    <row r="18" spans="1:1" ht="15" customHeight="1">
      <c r="A18" s="5"/>
    </row>
    <row r="19" spans="1:1" ht="15" customHeight="1">
      <c r="A19" s="22" t="s">
        <v>197</v>
      </c>
    </row>
    <row r="20" spans="1:1" ht="15" customHeight="1">
      <c r="A20" s="5" t="s">
        <v>259</v>
      </c>
    </row>
    <row r="21" spans="1:1" ht="15" customHeight="1"/>
    <row r="22" spans="1:1" ht="15" customHeight="1"/>
    <row r="23" spans="1:1" ht="15" customHeight="1">
      <c r="A23" s="5"/>
    </row>
    <row r="24" spans="1:1" ht="15" customHeight="1">
      <c r="A24" s="5" t="s">
        <v>283</v>
      </c>
    </row>
    <row r="25" spans="1:1" ht="15" customHeight="1"/>
    <row r="26" spans="1:1" ht="15" customHeight="1"/>
    <row r="27" spans="1:1" ht="15" customHeight="1"/>
    <row r="28" spans="1:1" ht="15" customHeight="1"/>
    <row r="29" spans="1:1" ht="15" customHeight="1"/>
    <row r="30" spans="1:1" ht="15" customHeight="1"/>
  </sheetData>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R30"/>
  <sheetViews>
    <sheetView workbookViewId="0">
      <selection activeCell="A2" sqref="A2"/>
    </sheetView>
  </sheetViews>
  <sheetFormatPr defaultRowHeight="14.5"/>
  <cols>
    <col min="1" max="6" width="8.6328125" customWidth="1"/>
    <col min="7" max="8" width="10.6328125" customWidth="1"/>
    <col min="9" max="11" width="8.6328125" customWidth="1"/>
    <col min="12" max="12" width="10.6328125" customWidth="1"/>
    <col min="13" max="15" width="8.6328125" customWidth="1"/>
    <col min="16" max="16" width="12.6328125" customWidth="1"/>
    <col min="17" max="30" width="8.6328125" customWidth="1"/>
    <col min="31" max="32" width="7.6328125" customWidth="1"/>
    <col min="33" max="35" width="6.6328125" customWidth="1"/>
    <col min="36" max="36" width="6.81640625" customWidth="1"/>
  </cols>
  <sheetData>
    <row r="1" spans="1:18" ht="25" customHeight="1">
      <c r="A1" s="59" t="s">
        <v>281</v>
      </c>
    </row>
    <row r="2" spans="1:18" ht="15" customHeight="1">
      <c r="A2" s="7"/>
    </row>
    <row r="3" spans="1:18" ht="15" customHeight="1">
      <c r="A3" s="5" t="s">
        <v>273</v>
      </c>
    </row>
    <row r="4" spans="1:18" ht="15" customHeight="1">
      <c r="A4" s="7"/>
    </row>
    <row r="5" spans="1:18" ht="25" customHeight="1">
      <c r="A5" s="125"/>
      <c r="B5" s="138" t="s">
        <v>111</v>
      </c>
      <c r="C5" s="138"/>
      <c r="D5" s="138"/>
      <c r="E5" s="138"/>
      <c r="F5" s="138"/>
      <c r="G5" s="105" t="s">
        <v>207</v>
      </c>
      <c r="H5" s="138" t="s">
        <v>218</v>
      </c>
      <c r="I5" s="138"/>
      <c r="J5" s="138"/>
      <c r="K5" s="10" t="s">
        <v>106</v>
      </c>
      <c r="L5" s="138" t="s">
        <v>212</v>
      </c>
      <c r="M5" s="138"/>
      <c r="N5" s="138"/>
      <c r="O5" s="138"/>
      <c r="P5" s="112" t="s">
        <v>215</v>
      </c>
      <c r="Q5" s="106"/>
      <c r="R5" s="106"/>
    </row>
    <row r="6" spans="1:18" ht="15" customHeight="1">
      <c r="A6" s="68"/>
      <c r="B6" s="68" t="s">
        <v>208</v>
      </c>
      <c r="C6" s="68" t="s">
        <v>109</v>
      </c>
      <c r="D6" s="68" t="s">
        <v>108</v>
      </c>
      <c r="E6" s="68" t="s">
        <v>210</v>
      </c>
      <c r="F6" s="68"/>
      <c r="G6" s="68" t="s">
        <v>81</v>
      </c>
      <c r="H6" s="68" t="s">
        <v>14</v>
      </c>
      <c r="I6" s="68" t="s">
        <v>20</v>
      </c>
      <c r="J6" s="68"/>
      <c r="K6" s="68"/>
      <c r="L6" s="68" t="s">
        <v>14</v>
      </c>
      <c r="M6" s="68" t="s">
        <v>20</v>
      </c>
      <c r="N6" s="135" t="s">
        <v>227</v>
      </c>
      <c r="O6" s="135"/>
      <c r="P6" s="68" t="s">
        <v>213</v>
      </c>
      <c r="Q6" s="68"/>
      <c r="R6" s="68"/>
    </row>
    <row r="7" spans="1:18" ht="15" customHeight="1">
      <c r="A7" s="39" t="s">
        <v>12</v>
      </c>
      <c r="B7" s="39" t="s">
        <v>110</v>
      </c>
      <c r="C7" s="39" t="s">
        <v>209</v>
      </c>
      <c r="D7" s="39" t="s">
        <v>209</v>
      </c>
      <c r="E7" s="39" t="s">
        <v>23</v>
      </c>
      <c r="F7" s="39" t="s">
        <v>211</v>
      </c>
      <c r="G7" s="39" t="s">
        <v>23</v>
      </c>
      <c r="H7" s="39" t="s">
        <v>23</v>
      </c>
      <c r="I7" s="39" t="s">
        <v>23</v>
      </c>
      <c r="J7" s="39" t="s">
        <v>226</v>
      </c>
      <c r="K7" s="39" t="s">
        <v>226</v>
      </c>
      <c r="L7" s="39" t="s">
        <v>23</v>
      </c>
      <c r="M7" s="39" t="s">
        <v>23</v>
      </c>
      <c r="N7" s="111">
        <v>1</v>
      </c>
      <c r="O7" s="39" t="s">
        <v>67</v>
      </c>
      <c r="P7" s="39" t="s">
        <v>23</v>
      </c>
      <c r="Q7" s="39" t="s">
        <v>12</v>
      </c>
      <c r="R7" s="39"/>
    </row>
    <row r="8" spans="1:18" ht="15" customHeight="1">
      <c r="A8" s="1" t="s">
        <v>0</v>
      </c>
      <c r="B8" s="1"/>
      <c r="C8" s="1"/>
      <c r="D8" s="1"/>
      <c r="E8" s="107"/>
      <c r="F8" s="96"/>
      <c r="G8" s="40">
        <f>'Pred Prod'!B14</f>
        <v>444</v>
      </c>
      <c r="L8" s="2"/>
      <c r="M8" s="2"/>
      <c r="N8" s="2"/>
      <c r="O8" s="2"/>
      <c r="Q8" s="1" t="str">
        <f t="shared" ref="Q8:Q20" si="0">A8</f>
        <v>Jan</v>
      </c>
    </row>
    <row r="9" spans="1:18" ht="15" customHeight="1">
      <c r="A9" s="1" t="s">
        <v>1</v>
      </c>
      <c r="B9" s="1"/>
      <c r="C9" s="1"/>
      <c r="D9" s="1"/>
      <c r="E9" s="107"/>
      <c r="F9" s="96"/>
      <c r="G9" s="40">
        <f>'Pred Prod'!B15</f>
        <v>553</v>
      </c>
      <c r="L9" s="2"/>
      <c r="M9" s="2"/>
      <c r="N9" s="2"/>
      <c r="O9" s="2"/>
      <c r="Q9" s="1" t="str">
        <f t="shared" si="0"/>
        <v>Feb</v>
      </c>
    </row>
    <row r="10" spans="1:18" ht="15" customHeight="1">
      <c r="A10" s="1" t="s">
        <v>2</v>
      </c>
      <c r="B10" s="1"/>
      <c r="C10" s="1"/>
      <c r="D10" s="1"/>
      <c r="E10" s="107"/>
      <c r="F10" s="96"/>
      <c r="G10" s="40">
        <f>'Pred Prod'!B16</f>
        <v>797</v>
      </c>
      <c r="L10" s="2"/>
      <c r="M10" s="2"/>
      <c r="N10" s="2"/>
      <c r="O10" s="2"/>
      <c r="Q10" s="1" t="str">
        <f t="shared" si="0"/>
        <v>Mar</v>
      </c>
    </row>
    <row r="11" spans="1:18" ht="15" customHeight="1">
      <c r="A11" s="1" t="s">
        <v>3</v>
      </c>
      <c r="B11" s="1"/>
      <c r="C11" s="1"/>
      <c r="D11" s="1"/>
      <c r="E11" s="107"/>
      <c r="F11" s="96"/>
      <c r="G11" s="40">
        <f>'Pred Prod'!B17</f>
        <v>921</v>
      </c>
      <c r="L11" s="2"/>
      <c r="M11" s="2"/>
      <c r="N11" s="2"/>
      <c r="O11" s="2"/>
      <c r="Q11" s="1" t="str">
        <f t="shared" si="0"/>
        <v>Apr</v>
      </c>
    </row>
    <row r="12" spans="1:18" ht="15" customHeight="1">
      <c r="A12" s="1" t="s">
        <v>4</v>
      </c>
      <c r="B12" s="1"/>
      <c r="C12" s="1"/>
      <c r="D12" s="1"/>
      <c r="E12" s="107"/>
      <c r="F12" s="96"/>
      <c r="G12" s="40">
        <f>'Pred Prod'!B18</f>
        <v>1026</v>
      </c>
      <c r="L12" s="2"/>
      <c r="M12" s="2"/>
      <c r="N12" s="2"/>
      <c r="O12" s="2"/>
      <c r="Q12" s="1" t="str">
        <f t="shared" si="0"/>
        <v>May</v>
      </c>
    </row>
    <row r="13" spans="1:18" ht="15" customHeight="1">
      <c r="A13" s="1" t="s">
        <v>5</v>
      </c>
      <c r="B13" s="1"/>
      <c r="C13" s="1"/>
      <c r="D13" s="1"/>
      <c r="E13" s="107"/>
      <c r="F13" s="96"/>
      <c r="G13" s="40">
        <f>'Pred Prod'!B19</f>
        <v>1073</v>
      </c>
      <c r="L13" s="2"/>
      <c r="M13" s="2"/>
      <c r="N13" s="2"/>
      <c r="O13" s="2"/>
      <c r="Q13" s="1" t="str">
        <f t="shared" si="0"/>
        <v>Jun</v>
      </c>
    </row>
    <row r="14" spans="1:18" ht="15" customHeight="1">
      <c r="A14" s="1" t="s">
        <v>6</v>
      </c>
      <c r="B14" s="1"/>
      <c r="C14" s="1"/>
      <c r="D14" s="1"/>
      <c r="E14" s="107"/>
      <c r="F14" s="96"/>
      <c r="G14" s="40">
        <f>'Pred Prod'!B20</f>
        <v>1009</v>
      </c>
      <c r="L14" s="2"/>
      <c r="M14" s="2"/>
      <c r="N14" s="2"/>
      <c r="O14" s="2"/>
      <c r="Q14" s="1" t="str">
        <f t="shared" si="0"/>
        <v>Jul</v>
      </c>
    </row>
    <row r="15" spans="1:18" ht="15" customHeight="1">
      <c r="A15" s="1" t="s">
        <v>7</v>
      </c>
      <c r="B15" s="1"/>
      <c r="C15" s="1"/>
      <c r="D15" s="1"/>
      <c r="E15" s="107"/>
      <c r="F15" s="96"/>
      <c r="G15" s="40">
        <f>'Pred Prod'!B21</f>
        <v>956</v>
      </c>
      <c r="L15" s="2"/>
      <c r="M15" s="2"/>
      <c r="N15" s="2"/>
      <c r="O15" s="2"/>
      <c r="Q15" s="1" t="str">
        <f t="shared" si="0"/>
        <v>Aug</v>
      </c>
    </row>
    <row r="16" spans="1:18" ht="15" customHeight="1">
      <c r="A16" s="1" t="s">
        <v>8</v>
      </c>
      <c r="B16" s="1">
        <v>9</v>
      </c>
      <c r="C16" s="1">
        <v>47</v>
      </c>
      <c r="D16" s="124">
        <v>79</v>
      </c>
      <c r="E16" s="107">
        <v>14</v>
      </c>
      <c r="F16" s="96">
        <v>1</v>
      </c>
      <c r="G16" s="40">
        <f>'Pred Prod'!B22</f>
        <v>812</v>
      </c>
      <c r="H16">
        <v>897</v>
      </c>
      <c r="I16">
        <v>364</v>
      </c>
      <c r="J16">
        <f>H16-I16</f>
        <v>533</v>
      </c>
      <c r="K16">
        <v>505</v>
      </c>
      <c r="L16" s="2">
        <f>H16*E16/100</f>
        <v>125.58</v>
      </c>
      <c r="M16" s="2">
        <f>I16*E16/100</f>
        <v>50.96</v>
      </c>
      <c r="N16" s="2">
        <f>L16-M16</f>
        <v>74.62</v>
      </c>
      <c r="O16" s="2">
        <f>IF(J16&lt;0,(J16*E16/100),J16*E16*F16/100)</f>
        <v>74.62</v>
      </c>
      <c r="P16" s="1" t="s">
        <v>26</v>
      </c>
      <c r="Q16" s="1" t="str">
        <f t="shared" si="0"/>
        <v>Sep</v>
      </c>
      <c r="R16" s="1"/>
    </row>
    <row r="17" spans="1:18" ht="15" customHeight="1">
      <c r="A17" s="1" t="s">
        <v>9</v>
      </c>
      <c r="B17" s="1">
        <v>38</v>
      </c>
      <c r="C17" s="1">
        <v>415</v>
      </c>
      <c r="D17" s="1">
        <v>5</v>
      </c>
      <c r="E17" s="107">
        <v>13</v>
      </c>
      <c r="F17" s="96">
        <v>1</v>
      </c>
      <c r="G17" s="40">
        <f>'Pred Prod'!B23</f>
        <v>620</v>
      </c>
      <c r="H17">
        <v>619</v>
      </c>
      <c r="I17">
        <v>392</v>
      </c>
      <c r="J17">
        <f>H17-I17</f>
        <v>227</v>
      </c>
      <c r="K17">
        <v>225</v>
      </c>
      <c r="L17" s="2">
        <f>H17*E17/100</f>
        <v>80.47</v>
      </c>
      <c r="M17" s="2">
        <f>I17*E17/100</f>
        <v>50.96</v>
      </c>
      <c r="N17" s="2">
        <f>L17-M17</f>
        <v>29.509999999999998</v>
      </c>
      <c r="O17" s="2">
        <f>IF(J17&lt;0,(J17*E17/100),J17*E17*F17/100)</f>
        <v>29.51</v>
      </c>
      <c r="P17" s="1" t="s">
        <v>27</v>
      </c>
      <c r="Q17" s="1" t="str">
        <f t="shared" si="0"/>
        <v>Oct</v>
      </c>
      <c r="R17" s="1"/>
    </row>
    <row r="18" spans="1:18" ht="15" customHeight="1">
      <c r="A18" s="1" t="s">
        <v>10</v>
      </c>
      <c r="B18" s="1">
        <v>117</v>
      </c>
      <c r="C18" s="1">
        <v>751</v>
      </c>
      <c r="D18" s="1">
        <v>0</v>
      </c>
      <c r="E18" s="107">
        <v>13</v>
      </c>
      <c r="F18" s="96">
        <v>1</v>
      </c>
      <c r="G18" s="40">
        <f>'Pred Prod'!B24</f>
        <v>490</v>
      </c>
      <c r="H18">
        <v>389</v>
      </c>
      <c r="I18">
        <v>419</v>
      </c>
      <c r="J18">
        <f>H18-I18</f>
        <v>-30</v>
      </c>
      <c r="K18">
        <v>-32</v>
      </c>
      <c r="L18" s="2">
        <f>H18*E18/100</f>
        <v>50.57</v>
      </c>
      <c r="M18" s="2">
        <f>I18*E18/100</f>
        <v>54.47</v>
      </c>
      <c r="N18" s="2">
        <f>L18-M18</f>
        <v>-3.8999999999999986</v>
      </c>
      <c r="O18" s="2">
        <f>IF(J18&lt;0,(J18*E18/100),J18*E18*F18/100)</f>
        <v>-3.9</v>
      </c>
      <c r="P18" s="1" t="s">
        <v>28</v>
      </c>
      <c r="Q18" s="1" t="str">
        <f t="shared" si="0"/>
        <v>Nov</v>
      </c>
      <c r="R18" s="1"/>
    </row>
    <row r="19" spans="1:18" ht="15" customHeight="1">
      <c r="A19" s="12" t="s">
        <v>11</v>
      </c>
      <c r="B19" s="12">
        <v>162</v>
      </c>
      <c r="C19" s="12">
        <v>966</v>
      </c>
      <c r="D19" s="12">
        <v>0</v>
      </c>
      <c r="E19" s="108">
        <v>13</v>
      </c>
      <c r="F19" s="109">
        <v>1</v>
      </c>
      <c r="G19" s="41">
        <f>'Pred Prod'!B25</f>
        <v>416</v>
      </c>
      <c r="H19" s="13">
        <v>327</v>
      </c>
      <c r="I19" s="13">
        <v>616</v>
      </c>
      <c r="J19" s="13">
        <f>H19-I19</f>
        <v>-289</v>
      </c>
      <c r="K19" s="13">
        <v>-294</v>
      </c>
      <c r="L19" s="110">
        <f>H19*E19/100</f>
        <v>42.51</v>
      </c>
      <c r="M19" s="110">
        <f>I19*E19/100</f>
        <v>80.08</v>
      </c>
      <c r="N19" s="110">
        <f>L19-M19</f>
        <v>-37.57</v>
      </c>
      <c r="O19" s="110">
        <f>IF(J19&lt;0,(J19*E19/100),J19*E19*F19/100)</f>
        <v>-37.57</v>
      </c>
      <c r="P19" s="12" t="s">
        <v>29</v>
      </c>
      <c r="Q19" s="12" t="str">
        <f t="shared" si="0"/>
        <v>Dec</v>
      </c>
      <c r="R19" s="113"/>
    </row>
    <row r="20" spans="1:18" ht="15" customHeight="1">
      <c r="A20" s="4" t="s">
        <v>112</v>
      </c>
      <c r="B20" s="51"/>
      <c r="C20" s="51"/>
      <c r="D20" s="4"/>
      <c r="E20" s="66">
        <f>100*(( (0.13*('2020-2023 Data'!Q5+'2020-2023 Data'!Q6+'2020-2023 Data'!Q7+'2020-2023 Data'!Q8+'2020-2023 Data'!Q9)) + (0.14*('2020-2023 Data'!Q10+'2020-2023 Data'!Q11+'2020-2023 Data'!Q12+'2020-2023 Data'!Q13)) + (0.13*('2020-2023 Data'!Q14+'2020-2023 Data'!Q15+'2020-2023 Data'!Q16)))/'2020-2023 Data'!Q17)</f>
        <v>13.376923076923077</v>
      </c>
      <c r="F20" s="64">
        <v>1</v>
      </c>
      <c r="G20" s="40">
        <f>'Pred Prod'!B26</f>
        <v>9117</v>
      </c>
      <c r="H20">
        <f>SUM(H8:H19)</f>
        <v>2232</v>
      </c>
      <c r="I20">
        <f>SUM(I8:I19)</f>
        <v>1791</v>
      </c>
      <c r="J20">
        <f>H20-I20</f>
        <v>441</v>
      </c>
      <c r="K20">
        <f>SUM(K8:K19)</f>
        <v>404</v>
      </c>
      <c r="L20" s="2">
        <f>SUM(L8:L19)</f>
        <v>299.13</v>
      </c>
      <c r="M20" s="2">
        <f>SUM(M8:M19)</f>
        <v>236.46999999999997</v>
      </c>
      <c r="N20" s="2">
        <f>SUM(N8:N19)</f>
        <v>62.659999999999989</v>
      </c>
      <c r="O20" s="2">
        <f>SUM(O8:O19)</f>
        <v>62.660000000000004</v>
      </c>
      <c r="P20" s="25" t="s">
        <v>214</v>
      </c>
      <c r="Q20" s="4" t="str">
        <f t="shared" si="0"/>
        <v>ANNUAL</v>
      </c>
      <c r="R20" s="25"/>
    </row>
    <row r="21" spans="1:18" ht="15" customHeight="1">
      <c r="E21" s="121" t="s">
        <v>248</v>
      </c>
      <c r="F21" s="122"/>
      <c r="G21" s="40">
        <f>'Pred Prod'!B28</f>
        <v>8971</v>
      </c>
      <c r="H21" s="49" t="s">
        <v>105</v>
      </c>
      <c r="J21" s="49"/>
      <c r="K21" s="49"/>
    </row>
    <row r="22" spans="1:18" ht="15" customHeight="1"/>
    <row r="23" spans="1:18" ht="15" customHeight="1"/>
    <row r="24" spans="1:18" ht="15" customHeight="1">
      <c r="A24" s="103" t="s">
        <v>204</v>
      </c>
      <c r="B24" s="104" t="s">
        <v>205</v>
      </c>
      <c r="C24" s="127" t="s">
        <v>216</v>
      </c>
      <c r="D24" s="99"/>
      <c r="E24" s="99"/>
      <c r="F24" s="99"/>
      <c r="G24" s="99"/>
      <c r="H24" s="99"/>
    </row>
    <row r="25" spans="1:18" ht="15" customHeight="1"/>
    <row r="26" spans="1:18" ht="15" customHeight="1"/>
    <row r="27" spans="1:18" ht="15" customHeight="1"/>
    <row r="28" spans="1:18" ht="15" customHeight="1"/>
    <row r="29" spans="1:18" ht="15" customHeight="1"/>
    <row r="30" spans="1:18" ht="15" customHeight="1"/>
  </sheetData>
  <mergeCells count="4">
    <mergeCell ref="N6:O6"/>
    <mergeCell ref="H5:J5"/>
    <mergeCell ref="L5:O5"/>
    <mergeCell ref="B5:F5"/>
  </mergeCells>
  <pageMargins left="0.7" right="0.7" top="0.75" bottom="0.75" header="0.3" footer="0.3"/>
  <pageSetup orientation="portrait" horizontalDpi="4294967293" verticalDpi="4294967293" r:id="rId1"/>
  <ignoredErrors>
    <ignoredError sqref="J20" formula="1"/>
  </ignoredErrors>
</worksheet>
</file>

<file path=xl/worksheets/sheet11.xml><?xml version="1.0" encoding="utf-8"?>
<worksheet xmlns="http://schemas.openxmlformats.org/spreadsheetml/2006/main" xmlns:r="http://schemas.openxmlformats.org/officeDocument/2006/relationships">
  <dimension ref="A1:X25"/>
  <sheetViews>
    <sheetView workbookViewId="0">
      <selection activeCell="A2" sqref="A2"/>
    </sheetView>
  </sheetViews>
  <sheetFormatPr defaultRowHeight="14.5"/>
  <sheetData>
    <row r="1" spans="1:24" ht="28.5">
      <c r="A1" s="129" t="s">
        <v>274</v>
      </c>
    </row>
    <row r="3" spans="1:24" ht="17">
      <c r="A3" s="141">
        <v>2021</v>
      </c>
      <c r="B3" s="141"/>
      <c r="C3" s="141"/>
      <c r="D3" s="141"/>
      <c r="E3" s="141"/>
      <c r="G3" s="141">
        <v>2022</v>
      </c>
      <c r="H3" s="141"/>
      <c r="I3" s="141"/>
      <c r="J3" s="141"/>
      <c r="K3" s="141"/>
      <c r="M3" s="141">
        <v>2023</v>
      </c>
      <c r="N3" s="141"/>
      <c r="O3" s="141"/>
      <c r="P3" s="141"/>
      <c r="Q3" s="141"/>
      <c r="T3" s="141" t="s">
        <v>117</v>
      </c>
      <c r="U3" s="141"/>
      <c r="V3" s="141"/>
      <c r="W3" s="141"/>
      <c r="X3" s="141"/>
    </row>
    <row r="4" spans="1:24">
      <c r="B4" s="47" t="s">
        <v>110</v>
      </c>
      <c r="C4" s="3" t="s">
        <v>109</v>
      </c>
      <c r="D4" s="3" t="s">
        <v>108</v>
      </c>
      <c r="E4" s="3" t="s">
        <v>23</v>
      </c>
      <c r="H4" s="47" t="s">
        <v>110</v>
      </c>
      <c r="I4" s="3" t="s">
        <v>109</v>
      </c>
      <c r="J4" s="3" t="s">
        <v>108</v>
      </c>
      <c r="K4" s="3" t="s">
        <v>23</v>
      </c>
      <c r="N4" s="3" t="s">
        <v>110</v>
      </c>
      <c r="O4" s="3" t="s">
        <v>109</v>
      </c>
      <c r="P4" s="3" t="s">
        <v>108</v>
      </c>
      <c r="Q4" s="3" t="s">
        <v>23</v>
      </c>
      <c r="U4" s="47" t="s">
        <v>110</v>
      </c>
      <c r="V4" s="3" t="s">
        <v>109</v>
      </c>
      <c r="W4" s="3" t="s">
        <v>108</v>
      </c>
      <c r="X4" s="3" t="s">
        <v>23</v>
      </c>
    </row>
    <row r="5" spans="1:24">
      <c r="A5" s="1" t="s">
        <v>0</v>
      </c>
      <c r="B5">
        <v>184</v>
      </c>
      <c r="C5">
        <v>1034</v>
      </c>
      <c r="D5">
        <v>0</v>
      </c>
      <c r="E5">
        <v>635</v>
      </c>
      <c r="G5" s="1" t="s">
        <v>0</v>
      </c>
      <c r="H5">
        <v>166</v>
      </c>
      <c r="I5" s="1">
        <v>1163</v>
      </c>
      <c r="J5">
        <v>0</v>
      </c>
      <c r="K5">
        <v>505</v>
      </c>
      <c r="M5" s="1" t="s">
        <v>0</v>
      </c>
      <c r="N5">
        <v>188</v>
      </c>
      <c r="O5" s="132">
        <v>1060</v>
      </c>
      <c r="P5">
        <v>0</v>
      </c>
      <c r="Q5">
        <v>495</v>
      </c>
      <c r="T5" s="1" t="s">
        <v>0</v>
      </c>
    </row>
    <row r="6" spans="1:24">
      <c r="A6" s="1" t="s">
        <v>1</v>
      </c>
      <c r="B6">
        <v>221</v>
      </c>
      <c r="C6">
        <v>1086</v>
      </c>
      <c r="D6">
        <v>0</v>
      </c>
      <c r="E6">
        <v>566</v>
      </c>
      <c r="G6" s="1" t="s">
        <v>1</v>
      </c>
      <c r="H6">
        <v>161</v>
      </c>
      <c r="I6" s="1">
        <v>907</v>
      </c>
      <c r="J6">
        <v>0</v>
      </c>
      <c r="K6">
        <v>516</v>
      </c>
      <c r="M6" s="1" t="s">
        <v>1</v>
      </c>
      <c r="N6">
        <v>160</v>
      </c>
      <c r="O6">
        <v>932</v>
      </c>
      <c r="P6">
        <v>0</v>
      </c>
      <c r="Q6">
        <v>444</v>
      </c>
      <c r="T6" s="1" t="s">
        <v>1</v>
      </c>
    </row>
    <row r="7" spans="1:24">
      <c r="A7" s="1" t="s">
        <v>2</v>
      </c>
      <c r="B7">
        <v>121</v>
      </c>
      <c r="C7">
        <v>657</v>
      </c>
      <c r="D7">
        <v>0</v>
      </c>
      <c r="E7">
        <v>549</v>
      </c>
      <c r="G7" s="1" t="s">
        <v>2</v>
      </c>
      <c r="H7">
        <v>113</v>
      </c>
      <c r="I7" s="1">
        <v>504</v>
      </c>
      <c r="J7">
        <v>0</v>
      </c>
      <c r="K7">
        <v>433</v>
      </c>
      <c r="M7" s="1" t="s">
        <v>2</v>
      </c>
      <c r="N7">
        <v>113</v>
      </c>
      <c r="O7">
        <v>599</v>
      </c>
      <c r="P7">
        <v>0</v>
      </c>
      <c r="Q7">
        <v>411</v>
      </c>
      <c r="T7" s="1" t="s">
        <v>2</v>
      </c>
    </row>
    <row r="8" spans="1:24">
      <c r="A8" s="1" t="s">
        <v>3</v>
      </c>
      <c r="B8">
        <v>83</v>
      </c>
      <c r="C8">
        <v>348</v>
      </c>
      <c r="D8">
        <v>0</v>
      </c>
      <c r="E8">
        <v>482</v>
      </c>
      <c r="G8" s="1" t="s">
        <v>3</v>
      </c>
      <c r="H8">
        <v>48</v>
      </c>
      <c r="I8" s="1">
        <v>299</v>
      </c>
      <c r="J8">
        <v>11</v>
      </c>
      <c r="K8">
        <v>347</v>
      </c>
      <c r="M8" s="1" t="s">
        <v>3</v>
      </c>
      <c r="N8">
        <v>44</v>
      </c>
      <c r="O8">
        <v>243</v>
      </c>
      <c r="P8">
        <v>0</v>
      </c>
      <c r="Q8">
        <v>356</v>
      </c>
      <c r="T8" s="1" t="s">
        <v>3</v>
      </c>
    </row>
    <row r="9" spans="1:24">
      <c r="A9" s="1" t="s">
        <v>4</v>
      </c>
      <c r="B9">
        <v>31</v>
      </c>
      <c r="C9">
        <v>35</v>
      </c>
      <c r="D9">
        <v>170</v>
      </c>
      <c r="E9">
        <v>462</v>
      </c>
      <c r="G9" s="1" t="s">
        <v>4</v>
      </c>
      <c r="H9">
        <v>24</v>
      </c>
      <c r="I9" s="1">
        <v>36</v>
      </c>
      <c r="J9">
        <v>157</v>
      </c>
      <c r="K9">
        <v>393</v>
      </c>
      <c r="M9" s="1" t="s">
        <v>4</v>
      </c>
      <c r="N9">
        <v>14</v>
      </c>
      <c r="O9">
        <v>119</v>
      </c>
      <c r="P9">
        <v>32</v>
      </c>
      <c r="Q9">
        <v>350</v>
      </c>
      <c r="T9" s="1" t="s">
        <v>4</v>
      </c>
    </row>
    <row r="10" spans="1:24">
      <c r="A10" s="1" t="s">
        <v>5</v>
      </c>
      <c r="B10">
        <v>11</v>
      </c>
      <c r="C10" s="1">
        <v>0</v>
      </c>
      <c r="D10" s="1">
        <v>313</v>
      </c>
      <c r="E10">
        <v>876</v>
      </c>
      <c r="G10" s="1" t="s">
        <v>5</v>
      </c>
      <c r="H10">
        <v>10</v>
      </c>
      <c r="I10" s="1">
        <v>0</v>
      </c>
      <c r="J10" s="1">
        <v>308</v>
      </c>
      <c r="K10">
        <v>626</v>
      </c>
      <c r="M10" s="1" t="s">
        <v>5</v>
      </c>
      <c r="N10">
        <v>6</v>
      </c>
      <c r="O10" s="1">
        <v>8</v>
      </c>
      <c r="P10" s="101">
        <v>211</v>
      </c>
      <c r="Q10" s="1">
        <v>355</v>
      </c>
      <c r="T10" s="1" t="s">
        <v>5</v>
      </c>
    </row>
    <row r="11" spans="1:24">
      <c r="A11" s="1" t="s">
        <v>6</v>
      </c>
      <c r="B11">
        <v>10</v>
      </c>
      <c r="C11">
        <v>0</v>
      </c>
      <c r="D11" s="52">
        <v>278</v>
      </c>
      <c r="E11">
        <v>940</v>
      </c>
      <c r="G11" s="1" t="s">
        <v>6</v>
      </c>
      <c r="H11">
        <v>7</v>
      </c>
      <c r="I11" s="1">
        <v>0</v>
      </c>
      <c r="J11" s="52">
        <v>268</v>
      </c>
      <c r="K11">
        <v>811</v>
      </c>
      <c r="M11" s="1" t="s">
        <v>6</v>
      </c>
      <c r="N11">
        <v>7</v>
      </c>
      <c r="O11">
        <v>5</v>
      </c>
      <c r="P11" s="100">
        <v>207</v>
      </c>
      <c r="Q11">
        <v>734</v>
      </c>
      <c r="T11" s="1" t="s">
        <v>6</v>
      </c>
    </row>
    <row r="12" spans="1:24">
      <c r="A12" s="1" t="s">
        <v>7</v>
      </c>
      <c r="B12">
        <v>6</v>
      </c>
      <c r="C12">
        <v>0</v>
      </c>
      <c r="D12" s="52">
        <v>278</v>
      </c>
      <c r="E12">
        <v>811</v>
      </c>
      <c r="G12" s="1" t="s">
        <v>7</v>
      </c>
      <c r="H12">
        <v>7</v>
      </c>
      <c r="I12" s="1">
        <v>0</v>
      </c>
      <c r="J12" s="52">
        <v>268</v>
      </c>
      <c r="K12">
        <v>995</v>
      </c>
      <c r="M12" s="1" t="s">
        <v>7</v>
      </c>
      <c r="N12" s="50">
        <v>7</v>
      </c>
      <c r="O12" s="50">
        <v>5</v>
      </c>
      <c r="P12" s="102">
        <v>207</v>
      </c>
      <c r="Q12" s="50">
        <v>654</v>
      </c>
      <c r="T12" s="1" t="s">
        <v>7</v>
      </c>
    </row>
    <row r="13" spans="1:24">
      <c r="A13" s="1" t="s">
        <v>8</v>
      </c>
      <c r="B13">
        <v>7</v>
      </c>
      <c r="C13">
        <v>42</v>
      </c>
      <c r="D13">
        <v>150</v>
      </c>
      <c r="E13">
        <v>706</v>
      </c>
      <c r="G13" s="1" t="s">
        <v>8</v>
      </c>
      <c r="H13">
        <v>9</v>
      </c>
      <c r="I13" s="1">
        <v>14</v>
      </c>
      <c r="J13" s="52">
        <v>0</v>
      </c>
      <c r="K13">
        <v>599</v>
      </c>
      <c r="M13" s="1" t="s">
        <v>8</v>
      </c>
      <c r="N13" s="50">
        <v>9</v>
      </c>
      <c r="O13" s="51">
        <v>47</v>
      </c>
      <c r="P13" s="55">
        <v>79</v>
      </c>
      <c r="Q13" s="51">
        <v>364</v>
      </c>
      <c r="T13" s="1" t="s">
        <v>8</v>
      </c>
      <c r="U13">
        <v>20</v>
      </c>
      <c r="V13">
        <v>126</v>
      </c>
      <c r="W13">
        <v>141</v>
      </c>
      <c r="X13">
        <v>500</v>
      </c>
    </row>
    <row r="14" spans="1:24">
      <c r="A14" s="1" t="s">
        <v>9</v>
      </c>
      <c r="B14">
        <v>26</v>
      </c>
      <c r="C14" s="53">
        <v>371</v>
      </c>
      <c r="D14">
        <v>0</v>
      </c>
      <c r="E14">
        <v>403</v>
      </c>
      <c r="G14" s="1" t="s">
        <v>9</v>
      </c>
      <c r="H14">
        <v>22</v>
      </c>
      <c r="I14" s="1">
        <v>400</v>
      </c>
      <c r="J14">
        <v>0</v>
      </c>
      <c r="K14">
        <v>358</v>
      </c>
      <c r="M14" s="1" t="s">
        <v>9</v>
      </c>
      <c r="N14" s="50">
        <v>38</v>
      </c>
      <c r="O14" s="50">
        <v>415</v>
      </c>
      <c r="P14" s="50">
        <v>5</v>
      </c>
      <c r="Q14" s="50">
        <f>'2023 Data'!I17</f>
        <v>392</v>
      </c>
      <c r="T14" s="1" t="s">
        <v>9</v>
      </c>
      <c r="U14">
        <v>64</v>
      </c>
      <c r="V14">
        <v>481</v>
      </c>
      <c r="W14">
        <v>6</v>
      </c>
      <c r="X14">
        <v>487</v>
      </c>
    </row>
    <row r="15" spans="1:24">
      <c r="A15" s="1" t="s">
        <v>10</v>
      </c>
      <c r="B15">
        <v>79</v>
      </c>
      <c r="C15" s="132">
        <v>875</v>
      </c>
      <c r="D15">
        <v>0</v>
      </c>
      <c r="E15">
        <v>533</v>
      </c>
      <c r="G15" s="1" t="s">
        <v>10</v>
      </c>
      <c r="H15">
        <v>127</v>
      </c>
      <c r="I15" s="101">
        <v>1191</v>
      </c>
      <c r="J15">
        <v>0</v>
      </c>
      <c r="K15">
        <v>452</v>
      </c>
      <c r="M15" s="1" t="s">
        <v>10</v>
      </c>
      <c r="N15" s="50">
        <v>117</v>
      </c>
      <c r="O15" s="50">
        <v>751</v>
      </c>
      <c r="P15" s="50">
        <v>0</v>
      </c>
      <c r="Q15" s="50">
        <f>'2023 Data'!I18</f>
        <v>419</v>
      </c>
      <c r="T15" s="1" t="s">
        <v>10</v>
      </c>
      <c r="U15">
        <v>104</v>
      </c>
      <c r="V15" s="52">
        <v>755</v>
      </c>
      <c r="W15">
        <v>0</v>
      </c>
      <c r="X15">
        <v>549</v>
      </c>
    </row>
    <row r="16" spans="1:24">
      <c r="A16" s="12" t="s">
        <v>11</v>
      </c>
      <c r="B16" s="13">
        <v>160</v>
      </c>
      <c r="C16" s="13">
        <v>1212</v>
      </c>
      <c r="D16" s="13">
        <v>0</v>
      </c>
      <c r="E16" s="13">
        <v>649</v>
      </c>
      <c r="G16" s="12" t="s">
        <v>11</v>
      </c>
      <c r="H16" s="13">
        <v>210</v>
      </c>
      <c r="I16" s="117">
        <v>1311</v>
      </c>
      <c r="J16" s="13">
        <v>0</v>
      </c>
      <c r="K16" s="13">
        <v>665</v>
      </c>
      <c r="M16" s="12" t="s">
        <v>11</v>
      </c>
      <c r="N16" s="54">
        <v>162</v>
      </c>
      <c r="O16" s="54">
        <v>966</v>
      </c>
      <c r="P16" s="54">
        <v>0</v>
      </c>
      <c r="Q16" s="54">
        <f>'2023 Data'!I19</f>
        <v>616</v>
      </c>
      <c r="T16" s="12" t="s">
        <v>11</v>
      </c>
      <c r="U16" s="13">
        <v>211</v>
      </c>
      <c r="V16" s="13">
        <v>1028</v>
      </c>
      <c r="W16" s="13">
        <v>0</v>
      </c>
      <c r="X16" s="13">
        <v>595</v>
      </c>
    </row>
    <row r="17" spans="1:24">
      <c r="A17" s="4" t="s">
        <v>112</v>
      </c>
      <c r="B17">
        <f>SUM(B5:B16)</f>
        <v>939</v>
      </c>
      <c r="C17">
        <f>SUM(C5:C16)</f>
        <v>5660</v>
      </c>
      <c r="D17">
        <f>SUM(D5:D16)</f>
        <v>1189</v>
      </c>
      <c r="E17">
        <f>SUM(E5:E16)</f>
        <v>7612</v>
      </c>
      <c r="G17" s="4" t="s">
        <v>112</v>
      </c>
      <c r="H17">
        <f>SUM(H5:H16)</f>
        <v>904</v>
      </c>
      <c r="I17" s="1">
        <f>SUM(I5:I16)</f>
        <v>5825</v>
      </c>
      <c r="J17">
        <f>SUM(J5:J16)</f>
        <v>1012</v>
      </c>
      <c r="K17">
        <f>SUM(K5:K16)</f>
        <v>6700</v>
      </c>
      <c r="M17" s="4" t="s">
        <v>112</v>
      </c>
      <c r="N17">
        <f>SUM(N5:N16)</f>
        <v>865</v>
      </c>
      <c r="O17" s="51">
        <f>SUM(O5:O16)</f>
        <v>5150</v>
      </c>
      <c r="P17" s="51">
        <f>SUM(P5:P16)</f>
        <v>741</v>
      </c>
      <c r="Q17" s="51">
        <f>SUM(Q5:Q16)</f>
        <v>5590</v>
      </c>
      <c r="T17" s="4" t="s">
        <v>107</v>
      </c>
      <c r="U17">
        <f>SUM(U5:U16)</f>
        <v>399</v>
      </c>
      <c r="V17">
        <f>SUM(V5:V16)</f>
        <v>2390</v>
      </c>
      <c r="W17">
        <f>SUM(W5:W16)</f>
        <v>147</v>
      </c>
      <c r="X17">
        <f>SUM(X5:X16)</f>
        <v>2131</v>
      </c>
    </row>
    <row r="18" spans="1:24">
      <c r="A18" s="4" t="s">
        <v>235</v>
      </c>
      <c r="B18" s="17">
        <v>784</v>
      </c>
      <c r="C18" s="1"/>
      <c r="D18" s="1"/>
      <c r="E18" s="17">
        <v>993</v>
      </c>
      <c r="F18" s="1"/>
      <c r="G18" s="4" t="s">
        <v>235</v>
      </c>
      <c r="H18" s="17">
        <v>1150</v>
      </c>
      <c r="I18" s="1"/>
      <c r="J18" s="1"/>
      <c r="K18" s="17">
        <v>1019</v>
      </c>
      <c r="L18" s="1"/>
      <c r="M18" s="4" t="s">
        <v>235</v>
      </c>
      <c r="N18" s="17">
        <v>1038</v>
      </c>
      <c r="O18" s="51"/>
      <c r="P18" s="51"/>
      <c r="Q18" s="6" t="s">
        <v>236</v>
      </c>
      <c r="T18" s="4"/>
    </row>
    <row r="19" spans="1:24">
      <c r="A19" s="4"/>
      <c r="B19" s="120">
        <f>100*B18/(B17*29.3*0.8)</f>
        <v>3.561991371257637</v>
      </c>
      <c r="C19" s="9" t="s">
        <v>237</v>
      </c>
      <c r="D19" s="1"/>
      <c r="E19" s="120">
        <f>100*E18/E17</f>
        <v>13.045191802417236</v>
      </c>
      <c r="F19" s="9"/>
      <c r="G19" s="4"/>
      <c r="H19" s="120">
        <f>100*H18/(H17*29.3*0.8)</f>
        <v>5.4271497175994439</v>
      </c>
      <c r="I19" s="9" t="s">
        <v>237</v>
      </c>
      <c r="J19" s="1"/>
      <c r="K19" s="120">
        <f>100*K18/K17</f>
        <v>15.208955223880597</v>
      </c>
      <c r="L19" s="9"/>
      <c r="M19" s="4"/>
      <c r="N19" s="120">
        <f>100*N18/(N17*29.3*0.8)</f>
        <v>5.1194539249146755</v>
      </c>
      <c r="O19" s="119" t="s">
        <v>237</v>
      </c>
      <c r="P19" s="51"/>
      <c r="Q19" s="9"/>
      <c r="T19" s="4"/>
    </row>
    <row r="20" spans="1:24">
      <c r="C20" s="5" t="s">
        <v>276</v>
      </c>
      <c r="E20" s="16"/>
      <c r="G20" s="1"/>
      <c r="H20" s="1"/>
      <c r="L20" s="24"/>
      <c r="N20" s="1"/>
      <c r="O20" s="1"/>
    </row>
    <row r="21" spans="1:24">
      <c r="D21" s="5"/>
      <c r="F21" s="16"/>
      <c r="H21" s="1"/>
      <c r="I21" s="1"/>
      <c r="M21" s="24"/>
      <c r="O21" s="1"/>
      <c r="P21" s="1"/>
    </row>
    <row r="23" spans="1:24" ht="15.5">
      <c r="A23" s="103" t="s">
        <v>204</v>
      </c>
      <c r="B23" s="104" t="s">
        <v>205</v>
      </c>
      <c r="C23" s="127" t="s">
        <v>216</v>
      </c>
      <c r="D23" s="99"/>
      <c r="E23" s="99"/>
      <c r="F23" s="99"/>
      <c r="G23" s="99"/>
      <c r="H23" s="99"/>
    </row>
    <row r="25" spans="1:24">
      <c r="A25" s="140" t="s">
        <v>114</v>
      </c>
      <c r="B25" s="140"/>
      <c r="C25" s="140"/>
      <c r="D25" s="140"/>
      <c r="E25" s="140"/>
    </row>
  </sheetData>
  <mergeCells count="5">
    <mergeCell ref="A25:E25"/>
    <mergeCell ref="T3:X3"/>
    <mergeCell ref="A3:E3"/>
    <mergeCell ref="G3:K3"/>
    <mergeCell ref="M3:Q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59" t="s">
        <v>177</v>
      </c>
    </row>
    <row r="2" spans="1:1" ht="15" customHeight="1">
      <c r="A2" s="11"/>
    </row>
    <row r="3" spans="1:1" ht="15" customHeight="1">
      <c r="A3" t="s">
        <v>25</v>
      </c>
    </row>
    <row r="4" spans="1:1" ht="15" customHeight="1">
      <c r="A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59" t="s">
        <v>178</v>
      </c>
    </row>
    <row r="2" spans="1:1" ht="15" customHeight="1">
      <c r="A2" s="11"/>
    </row>
    <row r="3" spans="1:1" ht="15" customHeight="1">
      <c r="A3" t="s">
        <v>143</v>
      </c>
    </row>
    <row r="4" spans="1:1" ht="15" customHeight="1">
      <c r="A4"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A34"/>
  <sheetViews>
    <sheetView workbookViewId="0">
      <selection activeCell="A2" sqref="A2"/>
    </sheetView>
  </sheetViews>
  <sheetFormatPr defaultRowHeight="14.5"/>
  <sheetData>
    <row r="1" spans="1:1" ht="25" customHeight="1">
      <c r="A1" s="59" t="s">
        <v>179</v>
      </c>
    </row>
    <row r="2" spans="1:1" ht="15" customHeight="1"/>
    <row r="3" spans="1:1" ht="15" customHeight="1"/>
    <row r="4" spans="1:1" ht="15" customHeight="1"/>
    <row r="5" spans="1:1" ht="15" customHeight="1"/>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D113"/>
  <sheetViews>
    <sheetView workbookViewId="0">
      <selection activeCell="A2" sqref="A2"/>
    </sheetView>
  </sheetViews>
  <sheetFormatPr defaultRowHeight="14.5"/>
  <cols>
    <col min="1" max="26" width="11.6328125" customWidth="1"/>
  </cols>
  <sheetData>
    <row r="1" spans="1:30" ht="25" customHeight="1">
      <c r="A1" s="59" t="s">
        <v>89</v>
      </c>
    </row>
    <row r="2" spans="1:30" ht="15" customHeight="1">
      <c r="A2" s="11"/>
    </row>
    <row r="3" spans="1:30" ht="15" customHeight="1">
      <c r="A3" s="5" t="s">
        <v>249</v>
      </c>
    </row>
    <row r="4" spans="1:30" ht="15" customHeight="1">
      <c r="A4" s="5" t="s">
        <v>260</v>
      </c>
    </row>
    <row r="5" spans="1:30" ht="15" customHeight="1"/>
    <row r="6" spans="1:30" ht="15" customHeight="1">
      <c r="A6" s="5" t="s">
        <v>162</v>
      </c>
    </row>
    <row r="7" spans="1:30" ht="15" customHeight="1">
      <c r="A7" s="8">
        <v>18504</v>
      </c>
      <c r="B7" t="s">
        <v>100</v>
      </c>
    </row>
    <row r="8" spans="1:30" ht="15" customHeight="1">
      <c r="A8" s="8">
        <f>0.3*A7</f>
        <v>5551.2</v>
      </c>
      <c r="B8" t="s">
        <v>21</v>
      </c>
    </row>
    <row r="9" spans="1:30" ht="15" customHeight="1">
      <c r="A9" s="8">
        <f>A7-A8</f>
        <v>12952.8</v>
      </c>
      <c r="B9" t="s">
        <v>90</v>
      </c>
    </row>
    <row r="10" spans="1:30" ht="15" customHeight="1">
      <c r="A10" s="8">
        <v>200</v>
      </c>
      <c r="B10" t="s">
        <v>101</v>
      </c>
    </row>
    <row r="11" spans="1:30" ht="15" customHeight="1">
      <c r="A11" s="8">
        <f>A9+A10</f>
        <v>13152.8</v>
      </c>
      <c r="B11" t="s">
        <v>71</v>
      </c>
    </row>
    <row r="12" spans="1:30" ht="15" customHeight="1">
      <c r="A12" s="8"/>
    </row>
    <row r="13" spans="1:30" ht="20" customHeight="1">
      <c r="A13" s="46">
        <v>0</v>
      </c>
      <c r="B13" s="44" t="s">
        <v>126</v>
      </c>
      <c r="C13" s="45"/>
      <c r="D13" s="45"/>
      <c r="E13" s="45"/>
      <c r="F13" s="45"/>
      <c r="G13" s="45"/>
      <c r="H13" s="45"/>
      <c r="I13" s="45"/>
      <c r="J13" s="45"/>
      <c r="K13" s="45"/>
      <c r="L13" s="45"/>
      <c r="M13" s="45"/>
      <c r="N13" s="45"/>
      <c r="O13" s="45"/>
      <c r="P13" s="45"/>
      <c r="Q13" s="45"/>
      <c r="R13" s="45"/>
      <c r="S13" s="45"/>
    </row>
    <row r="14" spans="1:30" ht="15" customHeight="1">
      <c r="A14" s="28" t="s">
        <v>161</v>
      </c>
      <c r="B14" s="29"/>
    </row>
    <row r="15" spans="1:30" ht="15" customHeight="1">
      <c r="A15" s="21"/>
      <c r="B15" s="29"/>
      <c r="X15" s="60"/>
      <c r="Y15" s="60"/>
      <c r="Z15" s="60"/>
      <c r="AA15" s="60"/>
      <c r="AB15" s="60"/>
      <c r="AC15" s="60"/>
      <c r="AD15" s="60"/>
    </row>
    <row r="16" spans="1:30" ht="15" customHeight="1">
      <c r="A16" s="67"/>
      <c r="B16" s="83"/>
      <c r="C16" s="134" t="s">
        <v>159</v>
      </c>
      <c r="D16" s="134"/>
      <c r="E16" s="134"/>
      <c r="F16" s="134"/>
      <c r="G16" s="134"/>
      <c r="H16" s="135" t="s">
        <v>160</v>
      </c>
      <c r="I16" s="135"/>
      <c r="J16" s="68" t="s">
        <v>156</v>
      </c>
      <c r="K16" s="77"/>
      <c r="L16" s="77"/>
      <c r="M16" s="68" t="s">
        <v>158</v>
      </c>
      <c r="N16" s="68" t="s">
        <v>165</v>
      </c>
      <c r="O16" s="77"/>
      <c r="P16" s="68" t="s">
        <v>44</v>
      </c>
      <c r="Q16" s="89" t="s">
        <v>258</v>
      </c>
      <c r="R16" s="123"/>
      <c r="S16" s="77"/>
    </row>
    <row r="17" spans="1:23" ht="15" customHeight="1">
      <c r="A17" s="39" t="s">
        <v>200</v>
      </c>
      <c r="B17" s="30" t="s">
        <v>61</v>
      </c>
      <c r="C17" s="30" t="s">
        <v>152</v>
      </c>
      <c r="D17" s="30" t="s">
        <v>151</v>
      </c>
      <c r="E17" s="30" t="s">
        <v>153</v>
      </c>
      <c r="F17" s="30" t="s">
        <v>154</v>
      </c>
      <c r="G17" s="30" t="s">
        <v>52</v>
      </c>
      <c r="H17" s="30" t="s">
        <v>152</v>
      </c>
      <c r="I17" s="30" t="s">
        <v>153</v>
      </c>
      <c r="J17" s="30" t="s">
        <v>163</v>
      </c>
      <c r="K17" s="30" t="s">
        <v>157</v>
      </c>
      <c r="L17" s="30" t="s">
        <v>64</v>
      </c>
      <c r="M17" s="30" t="s">
        <v>164</v>
      </c>
      <c r="N17" s="30" t="s">
        <v>73</v>
      </c>
      <c r="O17" s="30" t="s">
        <v>62</v>
      </c>
      <c r="P17" s="30" t="s">
        <v>63</v>
      </c>
      <c r="Q17" s="30" t="s">
        <v>69</v>
      </c>
      <c r="R17" s="30" t="s">
        <v>70</v>
      </c>
      <c r="S17" s="30" t="s">
        <v>198</v>
      </c>
      <c r="T17" s="30" t="s">
        <v>195</v>
      </c>
      <c r="U17" s="30" t="str">
        <f>A17</f>
        <v>Selected #</v>
      </c>
      <c r="V17" s="30" t="s">
        <v>61</v>
      </c>
    </row>
    <row r="18" spans="1:23" ht="15" customHeight="1">
      <c r="A18" s="67">
        <f>$A$13</f>
        <v>0</v>
      </c>
      <c r="B18" s="68" t="str">
        <f>VLOOKUP(A13,A20:AB28,2)</f>
        <v>Actual so far</v>
      </c>
      <c r="C18" s="69">
        <f>VLOOKUP(A13,A20:AB28,3)</f>
        <v>18504</v>
      </c>
      <c r="D18" s="70">
        <f>VLOOKUP(A13,A20:AB28,4)</f>
        <v>0.3</v>
      </c>
      <c r="E18" s="69">
        <f>C18*(1-D18)</f>
        <v>12952.8</v>
      </c>
      <c r="F18" s="69">
        <f>VLOOKUP(A13,A20:AB28,6)</f>
        <v>200</v>
      </c>
      <c r="G18" s="69">
        <f>E18+F18</f>
        <v>13152.8</v>
      </c>
      <c r="H18" s="71">
        <f>(C18+F18)/(1000*K18)</f>
        <v>2.597777777777778</v>
      </c>
      <c r="I18" s="71">
        <f>G18/(1000*K18)</f>
        <v>1.8267777777777776</v>
      </c>
      <c r="J18" s="71">
        <f>G18/L18</f>
        <v>1.4948062279804522</v>
      </c>
      <c r="K18" s="72">
        <f>VLOOKUP(A13,A20:AB28,11)</f>
        <v>7.2</v>
      </c>
      <c r="L18" s="73">
        <f>VLOOKUP(A13,A20:AB28,12)</f>
        <v>8799</v>
      </c>
      <c r="M18" s="84">
        <f>L18/(24*365*K18)</f>
        <v>0.1395072298325723</v>
      </c>
      <c r="N18" s="84">
        <f>VLOOKUP(A13,A20:AB28,14)</f>
        <v>5.0000000000000001E-3</v>
      </c>
      <c r="O18" s="73">
        <f>VLOOKUP(A13,A20:AB28,15)</f>
        <v>6295</v>
      </c>
      <c r="P18" s="75">
        <f>VLOOKUP(A13,A20:AB28,16)</f>
        <v>14.329626687847497</v>
      </c>
      <c r="Q18" s="74">
        <f>VLOOKUP(A13,A20:AB28,17)</f>
        <v>2.5000000000000001E-2</v>
      </c>
      <c r="R18" s="74">
        <f>VLOOKUP(A13,A20:AB28,18)</f>
        <v>7.0000000000000007E-2</v>
      </c>
      <c r="S18" s="70">
        <f>VLOOKUP(A13,A20:AB28,19)</f>
        <v>1</v>
      </c>
      <c r="T18" s="73">
        <f>VLOOKUP(A13,A20:AB28,20)</f>
        <v>2023</v>
      </c>
      <c r="U18" s="73">
        <f>VLOOKUP(A13,A20:AB28,21)</f>
        <v>0</v>
      </c>
      <c r="V18" s="76" t="str">
        <f>VLOOKUP(A13,A20:AB28,22)</f>
        <v xml:space="preserve">   Actual numbers over the years - table below must have numbers</v>
      </c>
      <c r="W18" s="77"/>
    </row>
    <row r="19" spans="1:23" ht="15" customHeight="1">
      <c r="A19" s="28"/>
      <c r="B19" s="4"/>
      <c r="C19" s="31"/>
      <c r="D19" s="65"/>
      <c r="E19" s="31"/>
      <c r="F19" s="31"/>
      <c r="G19" s="31"/>
      <c r="H19" s="62"/>
      <c r="I19" s="62"/>
      <c r="J19" s="62"/>
      <c r="K19" s="61"/>
      <c r="L19" s="33"/>
      <c r="M19" s="85"/>
      <c r="N19" s="85"/>
      <c r="O19" s="33"/>
      <c r="P19" s="34"/>
      <c r="Q19" s="32"/>
      <c r="R19" s="32"/>
      <c r="S19" s="95"/>
      <c r="T19" s="33"/>
      <c r="U19" s="32"/>
      <c r="V19" s="5"/>
    </row>
    <row r="20" spans="1:23" ht="15" customHeight="1">
      <c r="A20" s="78">
        <v>0</v>
      </c>
      <c r="B20" s="1" t="s">
        <v>243</v>
      </c>
      <c r="C20" s="65">
        <v>18504</v>
      </c>
      <c r="D20" s="64">
        <v>0.3</v>
      </c>
      <c r="E20" s="65">
        <f>C20*(1-D20)</f>
        <v>12952.8</v>
      </c>
      <c r="F20" s="65">
        <v>200</v>
      </c>
      <c r="G20" s="65">
        <f>E20+F20</f>
        <v>13152.8</v>
      </c>
      <c r="H20" s="79">
        <f>(C20+F20)/(1000*K20)</f>
        <v>2.597777777777778</v>
      </c>
      <c r="I20" s="79">
        <f>G20/(1000*K20)</f>
        <v>1.8267777777777776</v>
      </c>
      <c r="J20" s="79">
        <f>G20/L20</f>
        <v>1.4948062279804522</v>
      </c>
      <c r="K20" s="66">
        <v>7.2</v>
      </c>
      <c r="L20" s="19">
        <f>S43</f>
        <v>8799</v>
      </c>
      <c r="M20" s="86">
        <f>L20/(365*24*K20)</f>
        <v>0.1395072298325723</v>
      </c>
      <c r="N20" s="86">
        <v>5.0000000000000001E-3</v>
      </c>
      <c r="O20" s="80">
        <f>U43</f>
        <v>6295</v>
      </c>
      <c r="P20" s="82">
        <f>P43</f>
        <v>14.329626687847497</v>
      </c>
      <c r="Q20" s="81">
        <v>2.5000000000000001E-2</v>
      </c>
      <c r="R20" s="81">
        <v>7.0000000000000007E-2</v>
      </c>
      <c r="S20" s="64">
        <v>1</v>
      </c>
      <c r="T20" s="80">
        <v>2023</v>
      </c>
      <c r="U20" s="80">
        <f t="shared" ref="U20:U27" si="0">A20</f>
        <v>0</v>
      </c>
      <c r="V20" s="5" t="s">
        <v>244</v>
      </c>
    </row>
    <row r="21" spans="1:23" ht="15" customHeight="1">
      <c r="A21" s="21">
        <v>1</v>
      </c>
      <c r="B21" s="26" t="s">
        <v>65</v>
      </c>
      <c r="C21" s="17">
        <v>18504</v>
      </c>
      <c r="D21" s="64">
        <v>0.3</v>
      </c>
      <c r="E21" s="17">
        <f t="shared" ref="E21:E28" si="1">C21*(1-D21)</f>
        <v>12952.8</v>
      </c>
      <c r="F21" s="17">
        <v>200</v>
      </c>
      <c r="G21" s="17">
        <f t="shared" ref="G21:G28" si="2">E21+F21</f>
        <v>13152.8</v>
      </c>
      <c r="H21" s="63">
        <f t="shared" ref="H21:H27" si="3">(C21+F21)/(1000*K21)</f>
        <v>2.597777777777778</v>
      </c>
      <c r="I21" s="63">
        <f t="shared" ref="I21:I27" si="4">G21/(1000*K21)</f>
        <v>1.8267777777777776</v>
      </c>
      <c r="J21" s="63">
        <f t="shared" ref="J21:J27" si="5">G21/L21</f>
        <v>1.4614222222222222</v>
      </c>
      <c r="K21" s="66">
        <v>7.2</v>
      </c>
      <c r="L21" s="19">
        <v>9000</v>
      </c>
      <c r="M21" s="87">
        <f>L21/(365*24*K21)</f>
        <v>0.14269406392694065</v>
      </c>
      <c r="N21" s="87">
        <v>5.0000000000000001E-3</v>
      </c>
      <c r="O21" s="19">
        <v>9000</v>
      </c>
      <c r="P21" s="18">
        <v>13.5</v>
      </c>
      <c r="Q21" s="27">
        <v>2.5000000000000001E-2</v>
      </c>
      <c r="R21" s="27">
        <v>7.0000000000000007E-2</v>
      </c>
      <c r="S21" s="96">
        <v>1</v>
      </c>
      <c r="T21" s="19">
        <v>2023</v>
      </c>
      <c r="U21" s="19">
        <f t="shared" si="0"/>
        <v>1</v>
      </c>
      <c r="V21" t="s">
        <v>72</v>
      </c>
    </row>
    <row r="22" spans="1:23" ht="15" customHeight="1">
      <c r="A22" s="21">
        <v>2</v>
      </c>
      <c r="B22" s="26" t="s">
        <v>66</v>
      </c>
      <c r="C22" s="17">
        <v>15420</v>
      </c>
      <c r="D22" s="64">
        <v>0.3</v>
      </c>
      <c r="E22" s="17">
        <f t="shared" si="1"/>
        <v>10794</v>
      </c>
      <c r="F22" s="17">
        <v>200</v>
      </c>
      <c r="G22" s="17">
        <f t="shared" si="2"/>
        <v>10994</v>
      </c>
      <c r="H22" s="63">
        <f t="shared" si="3"/>
        <v>2.6033333333333335</v>
      </c>
      <c r="I22" s="63">
        <f t="shared" si="4"/>
        <v>1.8323333333333334</v>
      </c>
      <c r="J22" s="63">
        <f t="shared" si="5"/>
        <v>1.4658666666666667</v>
      </c>
      <c r="K22" s="66">
        <v>6</v>
      </c>
      <c r="L22" s="19">
        <v>7500</v>
      </c>
      <c r="M22" s="87">
        <f t="shared" ref="M22:M27" si="6">L22/(365*24*K22)</f>
        <v>0.14269406392694065</v>
      </c>
      <c r="N22" s="87">
        <v>5.0000000000000001E-3</v>
      </c>
      <c r="O22" s="19">
        <v>7500</v>
      </c>
      <c r="P22" s="18">
        <v>13.5</v>
      </c>
      <c r="Q22" s="27">
        <v>2.5000000000000001E-2</v>
      </c>
      <c r="R22" s="27">
        <v>7.0000000000000007E-2</v>
      </c>
      <c r="S22" s="96">
        <v>1</v>
      </c>
      <c r="T22" s="19">
        <v>2023</v>
      </c>
      <c r="U22" s="19">
        <f t="shared" si="0"/>
        <v>2</v>
      </c>
      <c r="V22" t="s">
        <v>124</v>
      </c>
    </row>
    <row r="23" spans="1:23" ht="15" customHeight="1">
      <c r="A23" s="21">
        <v>3</v>
      </c>
      <c r="B23" s="1" t="s">
        <v>155</v>
      </c>
      <c r="C23" s="17">
        <v>18504</v>
      </c>
      <c r="D23" s="64">
        <v>0.3</v>
      </c>
      <c r="E23" s="17">
        <f>C23*(1-D23)</f>
        <v>12952.8</v>
      </c>
      <c r="F23" s="17">
        <v>200</v>
      </c>
      <c r="G23" s="17">
        <f>E23+F23</f>
        <v>13152.8</v>
      </c>
      <c r="H23" s="63">
        <f>(C23+F23)/(1000*K23)</f>
        <v>2.597777777777778</v>
      </c>
      <c r="I23" s="63">
        <f>G23/(1000*K23)</f>
        <v>1.8267777777777776</v>
      </c>
      <c r="J23" s="63">
        <f>G23/L23</f>
        <v>1.4614222222222222</v>
      </c>
      <c r="K23" s="66">
        <v>7.2</v>
      </c>
      <c r="L23" s="19">
        <v>9000</v>
      </c>
      <c r="M23" s="87">
        <f>L23/(365*24*K23)</f>
        <v>0.14269406392694065</v>
      </c>
      <c r="N23" s="87">
        <v>5.0000000000000001E-3</v>
      </c>
      <c r="O23" s="19">
        <v>7500</v>
      </c>
      <c r="P23" s="18">
        <v>13.5</v>
      </c>
      <c r="Q23" s="27">
        <v>2.5000000000000001E-2</v>
      </c>
      <c r="R23" s="27">
        <v>7.0000000000000007E-2</v>
      </c>
      <c r="S23" s="96">
        <v>1</v>
      </c>
      <c r="T23" s="19">
        <v>2023</v>
      </c>
      <c r="U23" s="19">
        <f t="shared" si="0"/>
        <v>3</v>
      </c>
      <c r="V23" t="s">
        <v>123</v>
      </c>
    </row>
    <row r="24" spans="1:23" ht="15" customHeight="1">
      <c r="A24" s="21">
        <v>4</v>
      </c>
      <c r="B24" s="26" t="s">
        <v>74</v>
      </c>
      <c r="C24" s="17">
        <v>50000</v>
      </c>
      <c r="D24" s="64">
        <v>0.3</v>
      </c>
      <c r="E24" s="17">
        <f t="shared" si="1"/>
        <v>35000</v>
      </c>
      <c r="F24" s="17">
        <v>0</v>
      </c>
      <c r="G24" s="17">
        <f t="shared" si="2"/>
        <v>35000</v>
      </c>
      <c r="H24" s="63">
        <f t="shared" si="3"/>
        <v>3.6764705882352939</v>
      </c>
      <c r="I24" s="63">
        <f t="shared" si="4"/>
        <v>2.5735294117647061</v>
      </c>
      <c r="J24" s="63">
        <f t="shared" si="5"/>
        <v>2.0588235294117645</v>
      </c>
      <c r="K24" s="66">
        <v>13.6</v>
      </c>
      <c r="L24" s="19">
        <v>17000</v>
      </c>
      <c r="M24" s="87">
        <f t="shared" si="6"/>
        <v>0.14269406392694065</v>
      </c>
      <c r="N24" s="87">
        <v>5.0000000000000001E-3</v>
      </c>
      <c r="O24" s="19">
        <v>17000</v>
      </c>
      <c r="P24" s="18">
        <v>13.5</v>
      </c>
      <c r="Q24" s="27">
        <v>2.5000000000000001E-2</v>
      </c>
      <c r="R24" s="27">
        <v>7.0000000000000007E-2</v>
      </c>
      <c r="S24" s="96">
        <v>1</v>
      </c>
      <c r="T24" s="19">
        <v>2024</v>
      </c>
      <c r="U24" s="19">
        <f t="shared" si="0"/>
        <v>4</v>
      </c>
      <c r="V24" t="s">
        <v>228</v>
      </c>
    </row>
    <row r="25" spans="1:23" ht="15" customHeight="1">
      <c r="A25" s="21">
        <v>5</v>
      </c>
      <c r="B25" s="26" t="s">
        <v>74</v>
      </c>
      <c r="C25" s="17">
        <v>120000</v>
      </c>
      <c r="D25" s="64">
        <v>0.3</v>
      </c>
      <c r="E25" s="17">
        <f t="shared" si="1"/>
        <v>84000</v>
      </c>
      <c r="F25" s="17">
        <v>0</v>
      </c>
      <c r="G25" s="17">
        <f t="shared" si="2"/>
        <v>84000</v>
      </c>
      <c r="H25" s="63">
        <f t="shared" si="3"/>
        <v>4</v>
      </c>
      <c r="I25" s="63">
        <f t="shared" si="4"/>
        <v>2.8</v>
      </c>
      <c r="J25" s="63">
        <f t="shared" si="5"/>
        <v>2.3333333333333335</v>
      </c>
      <c r="K25" s="66">
        <v>30</v>
      </c>
      <c r="L25" s="19">
        <v>36000</v>
      </c>
      <c r="M25" s="87">
        <f t="shared" si="6"/>
        <v>0.13698630136986301</v>
      </c>
      <c r="N25" s="87">
        <v>5.0000000000000001E-3</v>
      </c>
      <c r="O25" s="19">
        <v>45000</v>
      </c>
      <c r="P25" s="18">
        <v>13.5</v>
      </c>
      <c r="Q25" s="27">
        <v>2.5000000000000001E-2</v>
      </c>
      <c r="R25" s="27">
        <v>7.0000000000000007E-2</v>
      </c>
      <c r="S25" s="96">
        <v>1</v>
      </c>
      <c r="T25" s="19">
        <v>2024</v>
      </c>
      <c r="U25" s="19">
        <f t="shared" si="0"/>
        <v>5</v>
      </c>
      <c r="V25" t="s">
        <v>229</v>
      </c>
    </row>
    <row r="26" spans="1:23" ht="15" customHeight="1">
      <c r="A26" s="21">
        <v>6</v>
      </c>
      <c r="B26" s="26" t="s">
        <v>74</v>
      </c>
      <c r="C26" s="17">
        <v>30000</v>
      </c>
      <c r="D26" s="64">
        <v>0.3</v>
      </c>
      <c r="E26" s="17">
        <f t="shared" si="1"/>
        <v>21000</v>
      </c>
      <c r="F26" s="17">
        <v>0</v>
      </c>
      <c r="G26" s="17">
        <f t="shared" si="2"/>
        <v>21000</v>
      </c>
      <c r="H26" s="63">
        <f t="shared" si="3"/>
        <v>4.225352112676056</v>
      </c>
      <c r="I26" s="63">
        <f t="shared" si="4"/>
        <v>2.9577464788732395</v>
      </c>
      <c r="J26" s="63">
        <f t="shared" si="5"/>
        <v>2.8767123287671232</v>
      </c>
      <c r="K26" s="66">
        <v>7.1</v>
      </c>
      <c r="L26" s="19">
        <v>7300</v>
      </c>
      <c r="M26" s="87">
        <f t="shared" si="6"/>
        <v>0.11737089201877934</v>
      </c>
      <c r="N26" s="87">
        <v>2.5000000000000001E-3</v>
      </c>
      <c r="O26" s="19">
        <v>7300</v>
      </c>
      <c r="P26" s="18">
        <v>15</v>
      </c>
      <c r="Q26" s="27">
        <v>0.04</v>
      </c>
      <c r="R26" s="27">
        <v>7.0000000000000007E-2</v>
      </c>
      <c r="S26" s="96">
        <v>1</v>
      </c>
      <c r="T26" s="19">
        <v>2025</v>
      </c>
      <c r="U26" s="19">
        <f t="shared" si="0"/>
        <v>6</v>
      </c>
      <c r="V26" t="s">
        <v>230</v>
      </c>
    </row>
    <row r="27" spans="1:23" ht="15" customHeight="1">
      <c r="A27" s="21">
        <v>7</v>
      </c>
      <c r="B27" s="26" t="s">
        <v>78</v>
      </c>
      <c r="C27" s="17">
        <v>20113</v>
      </c>
      <c r="D27" s="64">
        <v>0.26</v>
      </c>
      <c r="E27" s="17">
        <f t="shared" si="1"/>
        <v>14883.619999999999</v>
      </c>
      <c r="F27" s="17">
        <v>0</v>
      </c>
      <c r="G27" s="17">
        <f t="shared" si="2"/>
        <v>14883.619999999999</v>
      </c>
      <c r="H27" s="63">
        <f t="shared" si="3"/>
        <v>3.0199699699699698</v>
      </c>
      <c r="I27" s="63">
        <f t="shared" si="4"/>
        <v>2.2347777777777775</v>
      </c>
      <c r="J27" s="63">
        <f t="shared" si="5"/>
        <v>2.7229454811562386</v>
      </c>
      <c r="K27" s="66">
        <v>6.66</v>
      </c>
      <c r="L27" s="19">
        <v>5466</v>
      </c>
      <c r="M27" s="87">
        <f t="shared" si="6"/>
        <v>9.3689579990949859E-2</v>
      </c>
      <c r="N27" s="87">
        <v>5.0000000000000001E-3</v>
      </c>
      <c r="O27" s="19">
        <v>5466</v>
      </c>
      <c r="P27" s="18">
        <v>20</v>
      </c>
      <c r="Q27" s="27">
        <v>0.03</v>
      </c>
      <c r="R27" s="27">
        <v>0.03</v>
      </c>
      <c r="S27" s="96">
        <v>1</v>
      </c>
      <c r="T27" s="19">
        <v>2022</v>
      </c>
      <c r="U27" s="19">
        <f t="shared" si="0"/>
        <v>7</v>
      </c>
      <c r="V27" t="s">
        <v>91</v>
      </c>
    </row>
    <row r="28" spans="1:23" ht="15" customHeight="1">
      <c r="A28" s="21">
        <v>8</v>
      </c>
      <c r="B28" s="26" t="s">
        <v>68</v>
      </c>
      <c r="C28" s="17"/>
      <c r="D28" s="65"/>
      <c r="E28" s="17">
        <f t="shared" si="1"/>
        <v>0</v>
      </c>
      <c r="F28" s="17"/>
      <c r="G28" s="17">
        <f t="shared" si="2"/>
        <v>0</v>
      </c>
      <c r="H28" s="63">
        <f>IF(K28=0,0,(C28+F28)/(1000*K28))</f>
        <v>0</v>
      </c>
      <c r="I28" s="63">
        <f>IF(K28=0,0,G28/(1000*K28))</f>
        <v>0</v>
      </c>
      <c r="J28" s="63">
        <f>IF(L28=0,0,G28/L28)</f>
        <v>0</v>
      </c>
      <c r="K28" s="66"/>
      <c r="L28" s="19"/>
      <c r="M28" s="87">
        <f>IF(K28=0,0,L28/(365*24*K28))</f>
        <v>0</v>
      </c>
      <c r="N28" s="87"/>
      <c r="O28" s="19"/>
      <c r="P28" s="18"/>
      <c r="Q28" s="27"/>
      <c r="R28" s="19"/>
      <c r="S28" s="27"/>
      <c r="U28" s="19">
        <f t="shared" ref="U28" si="7">A28</f>
        <v>8</v>
      </c>
      <c r="V28" s="5" t="s">
        <v>102</v>
      </c>
    </row>
    <row r="29" spans="1:23" ht="15" customHeight="1">
      <c r="A29" s="21"/>
      <c r="B29" s="26"/>
      <c r="C29" s="17"/>
      <c r="D29" s="17"/>
      <c r="E29" s="17"/>
      <c r="F29" s="17"/>
      <c r="G29" s="17"/>
      <c r="H29" s="19"/>
      <c r="I29" s="27"/>
      <c r="J29" s="19"/>
      <c r="K29" s="18"/>
      <c r="L29" s="27"/>
      <c r="M29" s="27"/>
      <c r="N29" s="27"/>
      <c r="O29" s="5"/>
    </row>
    <row r="30" spans="1:23" ht="20" customHeight="1">
      <c r="A30" s="35" t="s">
        <v>166</v>
      </c>
    </row>
    <row r="31" spans="1:23" ht="15" customHeight="1">
      <c r="A31" s="42">
        <f>G18</f>
        <v>13152.8</v>
      </c>
      <c r="B31" t="s">
        <v>187</v>
      </c>
    </row>
    <row r="32" spans="1:23" ht="15" customHeight="1">
      <c r="A32" s="28">
        <f>L18</f>
        <v>8799</v>
      </c>
      <c r="B32" t="s">
        <v>82</v>
      </c>
    </row>
    <row r="33" spans="1:27" ht="15" customHeight="1">
      <c r="A33" s="118">
        <f>N18</f>
        <v>5.0000000000000001E-3</v>
      </c>
      <c r="B33" t="s">
        <v>127</v>
      </c>
    </row>
    <row r="34" spans="1:27" ht="15" customHeight="1">
      <c r="A34" s="28">
        <f>O18</f>
        <v>6295</v>
      </c>
      <c r="B34" t="s">
        <v>188</v>
      </c>
    </row>
    <row r="35" spans="1:27" ht="15" customHeight="1">
      <c r="A35" s="36">
        <f>P18</f>
        <v>14.329626687847497</v>
      </c>
      <c r="B35" t="s">
        <v>125</v>
      </c>
      <c r="AA35" s="21"/>
    </row>
    <row r="36" spans="1:27" ht="15" customHeight="1">
      <c r="A36" s="97">
        <f>S18</f>
        <v>1</v>
      </c>
      <c r="B36" t="s">
        <v>199</v>
      </c>
    </row>
    <row r="37" spans="1:27" ht="15" customHeight="1">
      <c r="A37" s="43">
        <f>Q18</f>
        <v>2.5000000000000001E-2</v>
      </c>
      <c r="B37" t="s">
        <v>202</v>
      </c>
    </row>
    <row r="38" spans="1:27" ht="15" customHeight="1">
      <c r="A38" s="5"/>
      <c r="C38" t="s">
        <v>38</v>
      </c>
    </row>
    <row r="39" spans="1:27" ht="15" customHeight="1">
      <c r="A39" s="43">
        <f>R18</f>
        <v>7.0000000000000007E-2</v>
      </c>
      <c r="B39" t="s">
        <v>231</v>
      </c>
    </row>
    <row r="40" spans="1:27" ht="15" customHeight="1"/>
    <row r="41" spans="1:27" ht="15" customHeight="1">
      <c r="A41" s="5" t="s">
        <v>88</v>
      </c>
      <c r="K41" s="133" t="s">
        <v>87</v>
      </c>
      <c r="L41" s="133"/>
      <c r="M41" s="10" t="s">
        <v>13</v>
      </c>
      <c r="P41" s="136" t="s">
        <v>191</v>
      </c>
      <c r="Q41" s="136"/>
      <c r="R41" s="136"/>
      <c r="S41" s="136"/>
      <c r="T41" s="136"/>
      <c r="U41" s="136"/>
      <c r="V41" s="136"/>
      <c r="W41" s="136"/>
      <c r="X41" s="136"/>
      <c r="Y41" s="136"/>
      <c r="Z41" s="136"/>
    </row>
    <row r="42" spans="1:27" ht="15" customHeight="1">
      <c r="A42" s="3" t="s">
        <v>43</v>
      </c>
      <c r="B42" s="3" t="s">
        <v>44</v>
      </c>
      <c r="C42" s="3" t="s">
        <v>45</v>
      </c>
      <c r="D42" s="3" t="s">
        <v>46</v>
      </c>
      <c r="E42" s="3" t="s">
        <v>47</v>
      </c>
      <c r="F42" s="3" t="s">
        <v>48</v>
      </c>
      <c r="G42" s="3" t="s">
        <v>49</v>
      </c>
      <c r="H42" s="3" t="s">
        <v>50</v>
      </c>
      <c r="I42" s="3" t="s">
        <v>51</v>
      </c>
      <c r="J42" s="3"/>
      <c r="K42" s="3" t="s">
        <v>43</v>
      </c>
      <c r="L42" s="3" t="s">
        <v>52</v>
      </c>
      <c r="M42" s="3" t="s">
        <v>79</v>
      </c>
      <c r="N42" s="3" t="s">
        <v>43</v>
      </c>
      <c r="P42" s="3" t="s">
        <v>45</v>
      </c>
      <c r="Q42" s="3" t="s">
        <v>192</v>
      </c>
      <c r="R42" s="3" t="s">
        <v>198</v>
      </c>
      <c r="S42" s="3" t="s">
        <v>46</v>
      </c>
      <c r="T42" s="3" t="s">
        <v>192</v>
      </c>
      <c r="U42" s="3" t="s">
        <v>48</v>
      </c>
      <c r="V42" s="3" t="s">
        <v>203</v>
      </c>
      <c r="W42" s="3" t="s">
        <v>50</v>
      </c>
      <c r="X42" s="3" t="s">
        <v>43</v>
      </c>
    </row>
    <row r="43" spans="1:27" ht="15" customHeight="1">
      <c r="A43" s="16">
        <v>1</v>
      </c>
      <c r="B43" s="17">
        <f>$A$31</f>
        <v>13152.8</v>
      </c>
      <c r="C43" s="18">
        <f>IF($A$18=0,P43,$A$35)</f>
        <v>14.329626687847497</v>
      </c>
      <c r="D43" s="19">
        <f>IF($A$18=0,S43,$A$32)</f>
        <v>8799</v>
      </c>
      <c r="E43" s="17">
        <f t="shared" ref="E43:E72" si="8">IF($A$18=0,R43*(C43*D43/100), $A$36*(C43*D43/100))</f>
        <v>1260.8638522637013</v>
      </c>
      <c r="F43" s="19">
        <f t="shared" ref="F43:F72" si="9">IF($A$18=0,U43,$A$34)</f>
        <v>6295</v>
      </c>
      <c r="G43" s="17">
        <f t="shared" ref="G43:G72" si="10">MIN(D43,F43)*C43/100</f>
        <v>902.05</v>
      </c>
      <c r="H43" s="2">
        <f t="shared" ref="H43:H72" si="11">IF($A$18=0,B43*W43,B43*$A$39)</f>
        <v>2145.2216799999997</v>
      </c>
      <c r="I43" s="2">
        <f t="shared" ref="I43:I72" si="12">B43-G43+H43</f>
        <v>14395.971679999999</v>
      </c>
      <c r="J43" s="2"/>
      <c r="K43" s="2">
        <f t="shared" ref="K43:K72" si="13">E43-G43</f>
        <v>358.81385226370139</v>
      </c>
      <c r="L43" s="2">
        <f>K43</f>
        <v>358.81385226370139</v>
      </c>
      <c r="M43" s="2">
        <f t="shared" ref="M43:M72" si="14">I43-L43</f>
        <v>14037.157827736297</v>
      </c>
      <c r="N43">
        <f t="shared" ref="N43:N72" si="15">A43</f>
        <v>1</v>
      </c>
      <c r="P43" s="92">
        <f>'2024 Data'!E20</f>
        <v>14.329626687847497</v>
      </c>
      <c r="Q43" s="93">
        <f>(P43/'2023 Data'!E20) -1</f>
        <v>7.1219936411831331E-2</v>
      </c>
      <c r="R43" s="98">
        <f>'2024 Data'!F20</f>
        <v>1</v>
      </c>
      <c r="S43" s="21">
        <f>'2024 Data'!H20</f>
        <v>8799</v>
      </c>
      <c r="T43" s="87" t="s">
        <v>193</v>
      </c>
      <c r="U43" s="21">
        <f>'2024 Data'!I20</f>
        <v>6295</v>
      </c>
      <c r="V43" s="19" t="s">
        <v>193</v>
      </c>
      <c r="W43" s="15">
        <f>23.3*0.7/100</f>
        <v>0.16309999999999999</v>
      </c>
      <c r="X43" s="51">
        <v>1</v>
      </c>
      <c r="Y43" s="94" t="s">
        <v>245</v>
      </c>
    </row>
    <row r="44" spans="1:27" ht="15" customHeight="1">
      <c r="A44" s="16">
        <v>2</v>
      </c>
      <c r="B44" s="17">
        <f t="shared" ref="B44:B72" si="16">I43</f>
        <v>14395.971679999999</v>
      </c>
      <c r="C44" s="18">
        <f t="shared" ref="C44:C72" si="17">IF($A$18=0,P44,(C43*(1+$A$37)))</f>
        <v>14.687867355043684</v>
      </c>
      <c r="D44" s="19">
        <f t="shared" ref="D44:D72" si="18">IF($A$18=0,S44,(D43*(1-$A$33)))</f>
        <v>8755.0049999999992</v>
      </c>
      <c r="E44" s="17">
        <f t="shared" si="8"/>
        <v>1285.9235213274421</v>
      </c>
      <c r="F44" s="19">
        <f t="shared" si="9"/>
        <v>6295</v>
      </c>
      <c r="G44" s="17">
        <f t="shared" si="10"/>
        <v>924.60124999999982</v>
      </c>
      <c r="H44" s="2">
        <f t="shared" si="11"/>
        <v>1007.7180176000001</v>
      </c>
      <c r="I44" s="2">
        <f t="shared" si="12"/>
        <v>14479.088447599999</v>
      </c>
      <c r="J44" s="2"/>
      <c r="K44" s="2">
        <f t="shared" si="13"/>
        <v>361.32227132744231</v>
      </c>
      <c r="L44" s="2">
        <f>L43+K44</f>
        <v>720.1361235911437</v>
      </c>
      <c r="M44" s="2">
        <f t="shared" si="14"/>
        <v>13758.952324008855</v>
      </c>
      <c r="N44">
        <f t="shared" si="15"/>
        <v>2</v>
      </c>
      <c r="P44" s="92">
        <f>P43*(1+$A$37)</f>
        <v>14.687867355043684</v>
      </c>
      <c r="Q44" s="93">
        <f>IF(P43=0,0,(P44/P43) -1)</f>
        <v>2.4999999999999911E-2</v>
      </c>
      <c r="R44" s="98">
        <f t="shared" ref="R44:R72" si="19">$R$43</f>
        <v>1</v>
      </c>
      <c r="S44" s="21">
        <f>S43*(1-$A$33)</f>
        <v>8755.0049999999992</v>
      </c>
      <c r="T44" s="93">
        <f>IF(S43=0,0,(S44/S43) -1)</f>
        <v>-5.0000000000001155E-3</v>
      </c>
      <c r="U44" s="21">
        <f>U43</f>
        <v>6295</v>
      </c>
      <c r="V44" s="98">
        <f>IF(U43=0,0,(U44/U43) -1)</f>
        <v>0</v>
      </c>
      <c r="W44" s="15">
        <f t="shared" ref="W44:W72" si="20">$A$39</f>
        <v>7.0000000000000007E-2</v>
      </c>
      <c r="X44">
        <v>2</v>
      </c>
      <c r="Y44" s="94" t="s">
        <v>250</v>
      </c>
    </row>
    <row r="45" spans="1:27" ht="15" customHeight="1">
      <c r="A45" s="16">
        <v>3</v>
      </c>
      <c r="B45" s="17">
        <f t="shared" si="16"/>
        <v>14479.088447599999</v>
      </c>
      <c r="C45" s="18">
        <f t="shared" si="17"/>
        <v>15.055064038919776</v>
      </c>
      <c r="D45" s="19">
        <f t="shared" si="18"/>
        <v>8711.2299749999984</v>
      </c>
      <c r="E45" s="17">
        <f t="shared" si="8"/>
        <v>1311.4812513138249</v>
      </c>
      <c r="F45" s="19">
        <f t="shared" si="9"/>
        <v>6295</v>
      </c>
      <c r="G45" s="17">
        <f t="shared" si="10"/>
        <v>947.71628124999984</v>
      </c>
      <c r="H45" s="2">
        <f t="shared" si="11"/>
        <v>1013.536191332</v>
      </c>
      <c r="I45" s="2">
        <f t="shared" si="12"/>
        <v>14544.908357681999</v>
      </c>
      <c r="J45" s="2"/>
      <c r="K45" s="2">
        <f t="shared" si="13"/>
        <v>363.7649700638251</v>
      </c>
      <c r="L45" s="2">
        <f t="shared" ref="L45:L72" si="21">L44+K45</f>
        <v>1083.9010936549689</v>
      </c>
      <c r="M45" s="2">
        <f t="shared" si="14"/>
        <v>13461.00726402703</v>
      </c>
      <c r="N45">
        <f t="shared" si="15"/>
        <v>3</v>
      </c>
      <c r="P45" s="92">
        <f t="shared" ref="P45:P72" si="22">P44*(1+$A$37)</f>
        <v>15.055064038919776</v>
      </c>
      <c r="Q45" s="93">
        <f t="shared" ref="Q45:Q72" si="23">IF(P44=0,0,(P45/P44) -1)</f>
        <v>2.4999999999999911E-2</v>
      </c>
      <c r="R45" s="98">
        <f t="shared" si="19"/>
        <v>1</v>
      </c>
      <c r="S45" s="21">
        <f t="shared" ref="S45:S72" si="24">S44*(1-$A$33)</f>
        <v>8711.2299749999984</v>
      </c>
      <c r="T45" s="93">
        <f t="shared" ref="T45:T72" si="25">IF(S44=0,0,(S45/S44) -1)</f>
        <v>-5.0000000000001155E-3</v>
      </c>
      <c r="U45" s="21">
        <f t="shared" ref="U45:U72" si="26">U44</f>
        <v>6295</v>
      </c>
      <c r="V45" s="98">
        <f t="shared" ref="V45:V72" si="27">IF(U44=0,0,(U45/U44) -1)</f>
        <v>0</v>
      </c>
      <c r="W45" s="15">
        <f t="shared" si="20"/>
        <v>7.0000000000000007E-2</v>
      </c>
      <c r="X45">
        <v>3</v>
      </c>
      <c r="Y45" s="94" t="s">
        <v>251</v>
      </c>
    </row>
    <row r="46" spans="1:27" ht="15" customHeight="1">
      <c r="A46" s="16">
        <v>4</v>
      </c>
      <c r="B46" s="17">
        <f t="shared" si="16"/>
        <v>14544.908357681999</v>
      </c>
      <c r="C46" s="18">
        <f t="shared" si="17"/>
        <v>15.431440639892768</v>
      </c>
      <c r="D46" s="19">
        <f t="shared" si="18"/>
        <v>8667.673825124999</v>
      </c>
      <c r="E46" s="17">
        <f t="shared" si="8"/>
        <v>1337.5469411836871</v>
      </c>
      <c r="F46" s="19">
        <f t="shared" si="9"/>
        <v>6295</v>
      </c>
      <c r="G46" s="17">
        <f t="shared" si="10"/>
        <v>971.40918828124984</v>
      </c>
      <c r="H46" s="2">
        <f t="shared" si="11"/>
        <v>1018.1435850377401</v>
      </c>
      <c r="I46" s="2">
        <f t="shared" si="12"/>
        <v>14591.64275443849</v>
      </c>
      <c r="J46" s="2"/>
      <c r="K46" s="2">
        <f t="shared" si="13"/>
        <v>366.13775290243723</v>
      </c>
      <c r="L46" s="2">
        <f t="shared" si="21"/>
        <v>1450.038846557406</v>
      </c>
      <c r="M46" s="2">
        <f t="shared" si="14"/>
        <v>13141.603907881083</v>
      </c>
      <c r="N46">
        <f t="shared" si="15"/>
        <v>4</v>
      </c>
      <c r="P46" s="92">
        <f t="shared" si="22"/>
        <v>15.431440639892768</v>
      </c>
      <c r="Q46" s="93">
        <f t="shared" si="23"/>
        <v>2.4999999999999911E-2</v>
      </c>
      <c r="R46" s="98">
        <f t="shared" si="19"/>
        <v>1</v>
      </c>
      <c r="S46" s="21">
        <f t="shared" si="24"/>
        <v>8667.673825124999</v>
      </c>
      <c r="T46" s="93">
        <f t="shared" si="25"/>
        <v>-4.9999999999998934E-3</v>
      </c>
      <c r="U46" s="21">
        <f t="shared" si="26"/>
        <v>6295</v>
      </c>
      <c r="V46" s="98">
        <f t="shared" si="27"/>
        <v>0</v>
      </c>
      <c r="W46" s="15">
        <f t="shared" si="20"/>
        <v>7.0000000000000007E-2</v>
      </c>
      <c r="X46">
        <v>4</v>
      </c>
    </row>
    <row r="47" spans="1:27" ht="15" customHeight="1">
      <c r="A47" s="16">
        <v>5</v>
      </c>
      <c r="B47" s="17">
        <f t="shared" si="16"/>
        <v>14591.64275443849</v>
      </c>
      <c r="C47" s="18">
        <f t="shared" si="17"/>
        <v>15.817226655890087</v>
      </c>
      <c r="D47" s="19">
        <f t="shared" si="18"/>
        <v>8624.3354559993732</v>
      </c>
      <c r="E47" s="17">
        <f t="shared" si="8"/>
        <v>1364.1306866397126</v>
      </c>
      <c r="F47" s="19">
        <f t="shared" si="9"/>
        <v>6295</v>
      </c>
      <c r="G47" s="17">
        <f t="shared" si="10"/>
        <v>995.69441798828086</v>
      </c>
      <c r="H47" s="2">
        <f t="shared" si="11"/>
        <v>1021.4149928106943</v>
      </c>
      <c r="I47" s="2">
        <f t="shared" si="12"/>
        <v>14617.363329260903</v>
      </c>
      <c r="J47" s="2"/>
      <c r="K47" s="2">
        <f t="shared" si="13"/>
        <v>368.43626865143176</v>
      </c>
      <c r="L47" s="2">
        <f t="shared" si="21"/>
        <v>1818.4751152088379</v>
      </c>
      <c r="M47" s="2">
        <f t="shared" si="14"/>
        <v>12798.888214052065</v>
      </c>
      <c r="N47">
        <f t="shared" si="15"/>
        <v>5</v>
      </c>
      <c r="P47" s="92">
        <f t="shared" si="22"/>
        <v>15.817226655890087</v>
      </c>
      <c r="Q47" s="93">
        <f t="shared" si="23"/>
        <v>2.4999999999999911E-2</v>
      </c>
      <c r="R47" s="98">
        <f t="shared" si="19"/>
        <v>1</v>
      </c>
      <c r="S47" s="21">
        <f t="shared" si="24"/>
        <v>8624.3354559993732</v>
      </c>
      <c r="T47" s="93">
        <f t="shared" si="25"/>
        <v>-5.0000000000001155E-3</v>
      </c>
      <c r="U47" s="21">
        <f t="shared" si="26"/>
        <v>6295</v>
      </c>
      <c r="V47" s="98">
        <f t="shared" si="27"/>
        <v>0</v>
      </c>
      <c r="W47" s="15">
        <f t="shared" si="20"/>
        <v>7.0000000000000007E-2</v>
      </c>
      <c r="X47">
        <v>5</v>
      </c>
    </row>
    <row r="48" spans="1:27" ht="15" customHeight="1">
      <c r="A48" s="16">
        <v>6</v>
      </c>
      <c r="B48" s="2">
        <f t="shared" si="16"/>
        <v>14617.363329260903</v>
      </c>
      <c r="C48" s="20">
        <f t="shared" si="17"/>
        <v>16.212657322287338</v>
      </c>
      <c r="D48" s="19">
        <f t="shared" si="18"/>
        <v>8581.2137787193769</v>
      </c>
      <c r="E48" s="2">
        <f t="shared" si="8"/>
        <v>1391.242784036677</v>
      </c>
      <c r="F48" s="21">
        <f t="shared" si="9"/>
        <v>6295</v>
      </c>
      <c r="G48" s="17">
        <f t="shared" si="10"/>
        <v>1020.586778437988</v>
      </c>
      <c r="H48" s="2">
        <f t="shared" si="11"/>
        <v>1023.2154330482633</v>
      </c>
      <c r="I48" s="2">
        <f t="shared" si="12"/>
        <v>14619.991983871178</v>
      </c>
      <c r="J48" s="2"/>
      <c r="K48" s="2">
        <f t="shared" si="13"/>
        <v>370.65600559868903</v>
      </c>
      <c r="L48" s="2">
        <f t="shared" si="21"/>
        <v>2189.1311208075267</v>
      </c>
      <c r="M48" s="2">
        <f t="shared" si="14"/>
        <v>12430.860863063652</v>
      </c>
      <c r="N48">
        <f t="shared" si="15"/>
        <v>6</v>
      </c>
      <c r="P48" s="92">
        <f t="shared" si="22"/>
        <v>16.212657322287338</v>
      </c>
      <c r="Q48" s="93">
        <f t="shared" si="23"/>
        <v>2.4999999999999911E-2</v>
      </c>
      <c r="R48" s="98">
        <f t="shared" si="19"/>
        <v>1</v>
      </c>
      <c r="S48" s="21">
        <f t="shared" si="24"/>
        <v>8581.2137787193769</v>
      </c>
      <c r="T48" s="93">
        <f t="shared" si="25"/>
        <v>-4.9999999999998934E-3</v>
      </c>
      <c r="U48" s="21">
        <f t="shared" si="26"/>
        <v>6295</v>
      </c>
      <c r="V48" s="98">
        <f t="shared" si="27"/>
        <v>0</v>
      </c>
      <c r="W48" s="15">
        <f t="shared" si="20"/>
        <v>7.0000000000000007E-2</v>
      </c>
      <c r="X48">
        <v>6</v>
      </c>
    </row>
    <row r="49" spans="1:24" ht="15" customHeight="1">
      <c r="A49" s="16">
        <v>7</v>
      </c>
      <c r="B49" s="2">
        <f t="shared" si="16"/>
        <v>14619.991983871178</v>
      </c>
      <c r="C49" s="20">
        <f t="shared" si="17"/>
        <v>16.617973755344519</v>
      </c>
      <c r="D49" s="19">
        <f t="shared" si="18"/>
        <v>8538.30770982578</v>
      </c>
      <c r="E49" s="2">
        <f t="shared" si="8"/>
        <v>1418.8937343694058</v>
      </c>
      <c r="F49" s="21">
        <f t="shared" si="9"/>
        <v>6295</v>
      </c>
      <c r="G49" s="17">
        <f t="shared" si="10"/>
        <v>1046.1014478989375</v>
      </c>
      <c r="H49" s="2">
        <f t="shared" si="11"/>
        <v>1023.3994388709825</v>
      </c>
      <c r="I49" s="2">
        <f t="shared" si="12"/>
        <v>14597.289974843221</v>
      </c>
      <c r="J49" s="2"/>
      <c r="K49" s="2">
        <f t="shared" si="13"/>
        <v>372.7922864704683</v>
      </c>
      <c r="L49" s="2">
        <f t="shared" si="21"/>
        <v>2561.923407277995</v>
      </c>
      <c r="M49" s="2">
        <f t="shared" si="14"/>
        <v>12035.366567565226</v>
      </c>
      <c r="N49">
        <f t="shared" si="15"/>
        <v>7</v>
      </c>
      <c r="P49" s="92">
        <f t="shared" si="22"/>
        <v>16.617973755344519</v>
      </c>
      <c r="Q49" s="93">
        <f t="shared" si="23"/>
        <v>2.4999999999999911E-2</v>
      </c>
      <c r="R49" s="98">
        <f t="shared" si="19"/>
        <v>1</v>
      </c>
      <c r="S49" s="21">
        <f t="shared" si="24"/>
        <v>8538.30770982578</v>
      </c>
      <c r="T49" s="93">
        <f t="shared" si="25"/>
        <v>-5.0000000000000044E-3</v>
      </c>
      <c r="U49" s="21">
        <f t="shared" si="26"/>
        <v>6295</v>
      </c>
      <c r="V49" s="98">
        <f t="shared" si="27"/>
        <v>0</v>
      </c>
      <c r="W49" s="15">
        <f t="shared" si="20"/>
        <v>7.0000000000000007E-2</v>
      </c>
      <c r="X49">
        <v>7</v>
      </c>
    </row>
    <row r="50" spans="1:24" ht="15" customHeight="1">
      <c r="A50" s="16">
        <v>8</v>
      </c>
      <c r="B50" s="2">
        <f t="shared" si="16"/>
        <v>14597.289974843221</v>
      </c>
      <c r="C50" s="20">
        <f t="shared" si="17"/>
        <v>17.033423099228131</v>
      </c>
      <c r="D50" s="19">
        <f t="shared" si="18"/>
        <v>8495.6161712766516</v>
      </c>
      <c r="E50" s="2">
        <f t="shared" si="8"/>
        <v>1447.0942473399978</v>
      </c>
      <c r="F50" s="21">
        <f t="shared" si="9"/>
        <v>6295</v>
      </c>
      <c r="G50" s="17">
        <f t="shared" si="10"/>
        <v>1072.2539840964109</v>
      </c>
      <c r="H50" s="2">
        <f t="shared" si="11"/>
        <v>1021.8102982390255</v>
      </c>
      <c r="I50" s="2">
        <f t="shared" si="12"/>
        <v>14546.846288985835</v>
      </c>
      <c r="J50" s="2"/>
      <c r="K50" s="2">
        <f t="shared" si="13"/>
        <v>374.84026324358683</v>
      </c>
      <c r="L50" s="2">
        <f t="shared" si="21"/>
        <v>2936.7636705215818</v>
      </c>
      <c r="M50" s="2">
        <f t="shared" si="14"/>
        <v>11610.082618464254</v>
      </c>
      <c r="N50">
        <f t="shared" si="15"/>
        <v>8</v>
      </c>
      <c r="P50" s="92">
        <f t="shared" si="22"/>
        <v>17.033423099228131</v>
      </c>
      <c r="Q50" s="93">
        <f t="shared" si="23"/>
        <v>2.4999999999999911E-2</v>
      </c>
      <c r="R50" s="98">
        <f t="shared" si="19"/>
        <v>1</v>
      </c>
      <c r="S50" s="21">
        <f t="shared" si="24"/>
        <v>8495.6161712766516</v>
      </c>
      <c r="T50" s="93">
        <f t="shared" si="25"/>
        <v>-4.9999999999998934E-3</v>
      </c>
      <c r="U50" s="21">
        <f t="shared" si="26"/>
        <v>6295</v>
      </c>
      <c r="V50" s="98">
        <f t="shared" si="27"/>
        <v>0</v>
      </c>
      <c r="W50" s="15">
        <f t="shared" si="20"/>
        <v>7.0000000000000007E-2</v>
      </c>
      <c r="X50">
        <v>8</v>
      </c>
    </row>
    <row r="51" spans="1:24" ht="15" customHeight="1">
      <c r="A51" s="16">
        <v>9</v>
      </c>
      <c r="B51" s="2">
        <f t="shared" si="16"/>
        <v>14546.846288985835</v>
      </c>
      <c r="C51" s="20">
        <f t="shared" si="17"/>
        <v>17.459258676708831</v>
      </c>
      <c r="D51" s="19">
        <f t="shared" si="18"/>
        <v>8453.1380904202688</v>
      </c>
      <c r="E51" s="2">
        <f t="shared" si="8"/>
        <v>1475.8552455058798</v>
      </c>
      <c r="F51" s="21">
        <f t="shared" si="9"/>
        <v>6295</v>
      </c>
      <c r="G51" s="17">
        <f t="shared" si="10"/>
        <v>1099.0603336988208</v>
      </c>
      <c r="H51" s="2">
        <f t="shared" si="11"/>
        <v>1018.2792402290086</v>
      </c>
      <c r="I51" s="2">
        <f t="shared" si="12"/>
        <v>14466.065195516023</v>
      </c>
      <c r="J51" s="2"/>
      <c r="K51" s="2">
        <f t="shared" si="13"/>
        <v>376.79491180705895</v>
      </c>
      <c r="L51" s="2">
        <f t="shared" si="21"/>
        <v>3313.558582328641</v>
      </c>
      <c r="M51" s="2">
        <f t="shared" si="14"/>
        <v>11152.506613187383</v>
      </c>
      <c r="N51">
        <f t="shared" si="15"/>
        <v>9</v>
      </c>
      <c r="P51" s="92">
        <f t="shared" si="22"/>
        <v>17.459258676708831</v>
      </c>
      <c r="Q51" s="93">
        <f t="shared" si="23"/>
        <v>2.4999999999999911E-2</v>
      </c>
      <c r="R51" s="98">
        <f t="shared" si="19"/>
        <v>1</v>
      </c>
      <c r="S51" s="21">
        <f t="shared" si="24"/>
        <v>8453.1380904202688</v>
      </c>
      <c r="T51" s="93">
        <f t="shared" si="25"/>
        <v>-4.9999999999998934E-3</v>
      </c>
      <c r="U51" s="21">
        <f t="shared" si="26"/>
        <v>6295</v>
      </c>
      <c r="V51" s="98">
        <f t="shared" si="27"/>
        <v>0</v>
      </c>
      <c r="W51" s="15">
        <f t="shared" si="20"/>
        <v>7.0000000000000007E-2</v>
      </c>
      <c r="X51">
        <v>9</v>
      </c>
    </row>
    <row r="52" spans="1:24" ht="15" customHeight="1">
      <c r="A52" s="16">
        <v>10</v>
      </c>
      <c r="B52" s="2">
        <f t="shared" si="16"/>
        <v>14466.065195516023</v>
      </c>
      <c r="C52" s="20">
        <f t="shared" si="17"/>
        <v>17.895740143626551</v>
      </c>
      <c r="D52" s="19">
        <f t="shared" si="18"/>
        <v>8410.8723999681679</v>
      </c>
      <c r="E52" s="2">
        <f t="shared" si="8"/>
        <v>1505.1878685103093</v>
      </c>
      <c r="F52" s="21">
        <f t="shared" si="9"/>
        <v>6295</v>
      </c>
      <c r="G52" s="17">
        <f t="shared" si="10"/>
        <v>1126.5368420412915</v>
      </c>
      <c r="H52" s="2">
        <f t="shared" si="11"/>
        <v>1012.6245636861217</v>
      </c>
      <c r="I52" s="2">
        <f t="shared" si="12"/>
        <v>14352.152917160854</v>
      </c>
      <c r="J52" s="2"/>
      <c r="K52" s="2">
        <f t="shared" si="13"/>
        <v>378.65102646901778</v>
      </c>
      <c r="L52" s="2">
        <f t="shared" si="21"/>
        <v>3692.2096087976588</v>
      </c>
      <c r="M52" s="2">
        <f t="shared" si="14"/>
        <v>10659.943308363196</v>
      </c>
      <c r="N52">
        <f t="shared" si="15"/>
        <v>10</v>
      </c>
      <c r="P52" s="92">
        <f t="shared" si="22"/>
        <v>17.895740143626551</v>
      </c>
      <c r="Q52" s="93">
        <f t="shared" si="23"/>
        <v>2.4999999999999911E-2</v>
      </c>
      <c r="R52" s="98">
        <f t="shared" si="19"/>
        <v>1</v>
      </c>
      <c r="S52" s="21">
        <f t="shared" si="24"/>
        <v>8410.8723999681679</v>
      </c>
      <c r="T52" s="93">
        <f t="shared" si="25"/>
        <v>-4.9999999999998934E-3</v>
      </c>
      <c r="U52" s="21">
        <f t="shared" si="26"/>
        <v>6295</v>
      </c>
      <c r="V52" s="98">
        <f t="shared" si="27"/>
        <v>0</v>
      </c>
      <c r="W52" s="15">
        <f t="shared" si="20"/>
        <v>7.0000000000000007E-2</v>
      </c>
      <c r="X52">
        <v>10</v>
      </c>
    </row>
    <row r="53" spans="1:24" ht="15" customHeight="1">
      <c r="A53" s="16">
        <v>11</v>
      </c>
      <c r="B53" s="2">
        <f t="shared" si="16"/>
        <v>14352.152917160854</v>
      </c>
      <c r="C53" s="20">
        <f t="shared" si="17"/>
        <v>18.343133647217211</v>
      </c>
      <c r="D53" s="19">
        <f t="shared" si="18"/>
        <v>8368.8180379683272</v>
      </c>
      <c r="E53" s="2">
        <f t="shared" si="8"/>
        <v>1535.1034773969513</v>
      </c>
      <c r="F53" s="21">
        <f t="shared" si="9"/>
        <v>6295</v>
      </c>
      <c r="G53" s="17">
        <f t="shared" si="10"/>
        <v>1154.7002630923234</v>
      </c>
      <c r="H53" s="2">
        <f t="shared" si="11"/>
        <v>1004.6507042012599</v>
      </c>
      <c r="I53" s="2">
        <f t="shared" si="12"/>
        <v>14202.103358269791</v>
      </c>
      <c r="J53" s="2"/>
      <c r="K53" s="2">
        <f t="shared" si="13"/>
        <v>380.40321430462791</v>
      </c>
      <c r="L53" s="2">
        <f t="shared" si="21"/>
        <v>4072.6128231022867</v>
      </c>
      <c r="M53" s="2">
        <f t="shared" si="14"/>
        <v>10129.490535167504</v>
      </c>
      <c r="N53">
        <f t="shared" si="15"/>
        <v>11</v>
      </c>
      <c r="P53" s="92">
        <f t="shared" si="22"/>
        <v>18.343133647217211</v>
      </c>
      <c r="Q53" s="93">
        <f t="shared" si="23"/>
        <v>2.4999999999999911E-2</v>
      </c>
      <c r="R53" s="98">
        <f t="shared" si="19"/>
        <v>1</v>
      </c>
      <c r="S53" s="21">
        <f t="shared" si="24"/>
        <v>8368.8180379683272</v>
      </c>
      <c r="T53" s="93">
        <f t="shared" si="25"/>
        <v>-5.0000000000000044E-3</v>
      </c>
      <c r="U53" s="21">
        <f t="shared" si="26"/>
        <v>6295</v>
      </c>
      <c r="V53" s="98">
        <f t="shared" si="27"/>
        <v>0</v>
      </c>
      <c r="W53" s="15">
        <f t="shared" si="20"/>
        <v>7.0000000000000007E-2</v>
      </c>
      <c r="X53">
        <v>11</v>
      </c>
    </row>
    <row r="54" spans="1:24" ht="15" customHeight="1">
      <c r="A54" s="16">
        <v>12</v>
      </c>
      <c r="B54" s="2">
        <f t="shared" si="16"/>
        <v>14202.103358269791</v>
      </c>
      <c r="C54" s="20">
        <f t="shared" si="17"/>
        <v>18.801711988397638</v>
      </c>
      <c r="D54" s="19">
        <f t="shared" si="18"/>
        <v>8326.973947778486</v>
      </c>
      <c r="E54" s="2">
        <f t="shared" si="8"/>
        <v>1565.6136590102158</v>
      </c>
      <c r="F54" s="21">
        <f t="shared" si="9"/>
        <v>6295</v>
      </c>
      <c r="G54" s="17">
        <f t="shared" si="10"/>
        <v>1183.5677696696314</v>
      </c>
      <c r="H54" s="2">
        <f t="shared" si="11"/>
        <v>994.1472350788855</v>
      </c>
      <c r="I54" s="2">
        <f t="shared" si="12"/>
        <v>14012.682823679046</v>
      </c>
      <c r="J54" s="2"/>
      <c r="K54" s="2">
        <f t="shared" si="13"/>
        <v>382.04588934058438</v>
      </c>
      <c r="L54" s="2">
        <f t="shared" si="21"/>
        <v>4454.6587124428715</v>
      </c>
      <c r="M54" s="2">
        <f t="shared" si="14"/>
        <v>9558.0241112361746</v>
      </c>
      <c r="N54">
        <f t="shared" si="15"/>
        <v>12</v>
      </c>
      <c r="P54" s="92">
        <f t="shared" si="22"/>
        <v>18.801711988397638</v>
      </c>
      <c r="Q54" s="93">
        <f t="shared" si="23"/>
        <v>2.4999999999999911E-2</v>
      </c>
      <c r="R54" s="98">
        <f t="shared" si="19"/>
        <v>1</v>
      </c>
      <c r="S54" s="21">
        <f t="shared" si="24"/>
        <v>8326.973947778486</v>
      </c>
      <c r="T54" s="93">
        <f t="shared" si="25"/>
        <v>-4.9999999999998934E-3</v>
      </c>
      <c r="U54" s="21">
        <f t="shared" si="26"/>
        <v>6295</v>
      </c>
      <c r="V54" s="98">
        <f t="shared" si="27"/>
        <v>0</v>
      </c>
      <c r="W54" s="15">
        <f t="shared" si="20"/>
        <v>7.0000000000000007E-2</v>
      </c>
      <c r="X54">
        <v>12</v>
      </c>
    </row>
    <row r="55" spans="1:24" ht="15" customHeight="1">
      <c r="A55" s="16">
        <v>13</v>
      </c>
      <c r="B55" s="2">
        <f t="shared" si="16"/>
        <v>14012.682823679046</v>
      </c>
      <c r="C55" s="20">
        <f t="shared" si="17"/>
        <v>19.271754788107579</v>
      </c>
      <c r="D55" s="19">
        <f t="shared" si="18"/>
        <v>8285.339078039593</v>
      </c>
      <c r="E55" s="2">
        <f t="shared" si="8"/>
        <v>1596.7302304830437</v>
      </c>
      <c r="F55" s="21">
        <f t="shared" si="9"/>
        <v>6295</v>
      </c>
      <c r="G55" s="17">
        <f t="shared" si="10"/>
        <v>1213.1569639113723</v>
      </c>
      <c r="H55" s="2">
        <f t="shared" si="11"/>
        <v>980.88779765753327</v>
      </c>
      <c r="I55" s="2">
        <f t="shared" si="12"/>
        <v>13780.413657425206</v>
      </c>
      <c r="J55" s="2"/>
      <c r="K55" s="2">
        <f t="shared" si="13"/>
        <v>383.57326657167141</v>
      </c>
      <c r="L55" s="2">
        <f t="shared" si="21"/>
        <v>4838.231979014543</v>
      </c>
      <c r="M55" s="2">
        <f t="shared" si="14"/>
        <v>8942.1816784106632</v>
      </c>
      <c r="N55">
        <f t="shared" si="15"/>
        <v>13</v>
      </c>
      <c r="P55" s="92">
        <f t="shared" si="22"/>
        <v>19.271754788107579</v>
      </c>
      <c r="Q55" s="93">
        <f t="shared" si="23"/>
        <v>2.4999999999999911E-2</v>
      </c>
      <c r="R55" s="98">
        <f t="shared" si="19"/>
        <v>1</v>
      </c>
      <c r="S55" s="21">
        <f t="shared" si="24"/>
        <v>8285.339078039593</v>
      </c>
      <c r="T55" s="93">
        <f t="shared" si="25"/>
        <v>-5.0000000000001155E-3</v>
      </c>
      <c r="U55" s="21">
        <f t="shared" si="26"/>
        <v>6295</v>
      </c>
      <c r="V55" s="98">
        <f t="shared" si="27"/>
        <v>0</v>
      </c>
      <c r="W55" s="15">
        <f t="shared" si="20"/>
        <v>7.0000000000000007E-2</v>
      </c>
      <c r="X55">
        <v>13</v>
      </c>
    </row>
    <row r="56" spans="1:24" ht="15" customHeight="1">
      <c r="A56" s="16">
        <v>14</v>
      </c>
      <c r="B56" s="2">
        <f t="shared" si="16"/>
        <v>13780.413657425206</v>
      </c>
      <c r="C56" s="20">
        <f t="shared" si="17"/>
        <v>19.753548657810267</v>
      </c>
      <c r="D56" s="19">
        <f t="shared" si="18"/>
        <v>8243.9123826493942</v>
      </c>
      <c r="E56" s="2">
        <f t="shared" si="8"/>
        <v>1628.4652438138937</v>
      </c>
      <c r="F56" s="21">
        <f t="shared" si="9"/>
        <v>6295</v>
      </c>
      <c r="G56" s="17">
        <f t="shared" si="10"/>
        <v>1243.4858880091563</v>
      </c>
      <c r="H56" s="2">
        <f t="shared" si="11"/>
        <v>964.62895601976447</v>
      </c>
      <c r="I56" s="2">
        <f t="shared" si="12"/>
        <v>13501.556725435814</v>
      </c>
      <c r="J56" s="2"/>
      <c r="K56" s="2">
        <f t="shared" si="13"/>
        <v>384.97935580473745</v>
      </c>
      <c r="L56" s="2">
        <f t="shared" si="21"/>
        <v>5223.2113348192806</v>
      </c>
      <c r="M56" s="2">
        <f t="shared" si="14"/>
        <v>8278.3453906165341</v>
      </c>
      <c r="N56">
        <f t="shared" si="15"/>
        <v>14</v>
      </c>
      <c r="P56" s="92">
        <f t="shared" si="22"/>
        <v>19.753548657810267</v>
      </c>
      <c r="Q56" s="93">
        <f t="shared" si="23"/>
        <v>2.4999999999999911E-2</v>
      </c>
      <c r="R56" s="98">
        <f t="shared" si="19"/>
        <v>1</v>
      </c>
      <c r="S56" s="21">
        <f t="shared" si="24"/>
        <v>8243.9123826493942</v>
      </c>
      <c r="T56" s="93">
        <f t="shared" si="25"/>
        <v>-5.0000000000001155E-3</v>
      </c>
      <c r="U56" s="21">
        <f t="shared" si="26"/>
        <v>6295</v>
      </c>
      <c r="V56" s="98">
        <f t="shared" si="27"/>
        <v>0</v>
      </c>
      <c r="W56" s="15">
        <f t="shared" si="20"/>
        <v>7.0000000000000007E-2</v>
      </c>
      <c r="X56">
        <v>14</v>
      </c>
    </row>
    <row r="57" spans="1:24" ht="15" customHeight="1">
      <c r="A57" s="16">
        <v>15</v>
      </c>
      <c r="B57" s="2">
        <f t="shared" si="16"/>
        <v>13501.556725435814</v>
      </c>
      <c r="C57" s="20">
        <f t="shared" si="17"/>
        <v>20.247387374255521</v>
      </c>
      <c r="D57" s="19">
        <f t="shared" si="18"/>
        <v>8202.692820736147</v>
      </c>
      <c r="E57" s="2">
        <f t="shared" si="8"/>
        <v>1660.8309905346946</v>
      </c>
      <c r="F57" s="21">
        <f t="shared" si="9"/>
        <v>6295</v>
      </c>
      <c r="G57" s="17">
        <f t="shared" si="10"/>
        <v>1274.5730352093849</v>
      </c>
      <c r="H57" s="2">
        <f t="shared" si="11"/>
        <v>945.10897078050709</v>
      </c>
      <c r="I57" s="2">
        <f t="shared" si="12"/>
        <v>13172.092661006936</v>
      </c>
      <c r="J57" s="2"/>
      <c r="K57" s="2">
        <f t="shared" si="13"/>
        <v>386.25795532530969</v>
      </c>
      <c r="L57" s="2">
        <f t="shared" si="21"/>
        <v>5609.4692901445906</v>
      </c>
      <c r="M57" s="2">
        <f t="shared" si="14"/>
        <v>7562.6233708623458</v>
      </c>
      <c r="N57">
        <f t="shared" si="15"/>
        <v>15</v>
      </c>
      <c r="P57" s="92">
        <f t="shared" si="22"/>
        <v>20.247387374255521</v>
      </c>
      <c r="Q57" s="93">
        <f t="shared" si="23"/>
        <v>2.4999999999999911E-2</v>
      </c>
      <c r="R57" s="98">
        <f t="shared" si="19"/>
        <v>1</v>
      </c>
      <c r="S57" s="21">
        <f t="shared" si="24"/>
        <v>8202.692820736147</v>
      </c>
      <c r="T57" s="93">
        <f t="shared" si="25"/>
        <v>-5.0000000000000044E-3</v>
      </c>
      <c r="U57" s="21">
        <f t="shared" si="26"/>
        <v>6295</v>
      </c>
      <c r="V57" s="98">
        <f t="shared" si="27"/>
        <v>0</v>
      </c>
      <c r="W57" s="15">
        <f t="shared" si="20"/>
        <v>7.0000000000000007E-2</v>
      </c>
      <c r="X57">
        <v>15</v>
      </c>
    </row>
    <row r="58" spans="1:24" ht="15" customHeight="1">
      <c r="A58" s="16">
        <v>16</v>
      </c>
      <c r="B58" s="2">
        <f t="shared" si="16"/>
        <v>13172.092661006936</v>
      </c>
      <c r="C58" s="20">
        <f t="shared" si="17"/>
        <v>20.753572058611908</v>
      </c>
      <c r="D58" s="19">
        <f t="shared" si="18"/>
        <v>8161.6793566324659</v>
      </c>
      <c r="E58" s="2">
        <f t="shared" si="8"/>
        <v>1693.8400064715718</v>
      </c>
      <c r="F58" s="21">
        <f t="shared" si="9"/>
        <v>6295</v>
      </c>
      <c r="G58" s="17">
        <f t="shared" si="10"/>
        <v>1306.4373610896196</v>
      </c>
      <c r="H58" s="2">
        <f t="shared" si="11"/>
        <v>922.04648627048562</v>
      </c>
      <c r="I58" s="2">
        <f t="shared" si="12"/>
        <v>12787.701786187801</v>
      </c>
      <c r="J58" s="2"/>
      <c r="K58" s="2">
        <f t="shared" si="13"/>
        <v>387.4026453819522</v>
      </c>
      <c r="L58" s="2">
        <f t="shared" si="21"/>
        <v>5996.871935526543</v>
      </c>
      <c r="M58" s="2">
        <f t="shared" si="14"/>
        <v>6790.8298506612582</v>
      </c>
      <c r="N58">
        <f t="shared" si="15"/>
        <v>16</v>
      </c>
      <c r="P58" s="92">
        <f t="shared" si="22"/>
        <v>20.753572058611908</v>
      </c>
      <c r="Q58" s="93">
        <f t="shared" si="23"/>
        <v>2.4999999999999911E-2</v>
      </c>
      <c r="R58" s="98">
        <f t="shared" si="19"/>
        <v>1</v>
      </c>
      <c r="S58" s="21">
        <f t="shared" si="24"/>
        <v>8161.6793566324659</v>
      </c>
      <c r="T58" s="93">
        <f t="shared" si="25"/>
        <v>-5.0000000000000044E-3</v>
      </c>
      <c r="U58" s="21">
        <f t="shared" si="26"/>
        <v>6295</v>
      </c>
      <c r="V58" s="98">
        <f t="shared" si="27"/>
        <v>0</v>
      </c>
      <c r="W58" s="15">
        <f t="shared" si="20"/>
        <v>7.0000000000000007E-2</v>
      </c>
      <c r="X58">
        <v>16</v>
      </c>
    </row>
    <row r="59" spans="1:24" ht="15" customHeight="1">
      <c r="A59" s="16">
        <v>17</v>
      </c>
      <c r="B59" s="2">
        <f t="shared" si="16"/>
        <v>12787.701786187801</v>
      </c>
      <c r="C59" s="20">
        <f t="shared" si="17"/>
        <v>21.272411360077204</v>
      </c>
      <c r="D59" s="19">
        <f t="shared" si="18"/>
        <v>8120.8709598493033</v>
      </c>
      <c r="E59" s="2">
        <f t="shared" si="8"/>
        <v>1727.5050766001939</v>
      </c>
      <c r="F59" s="21">
        <f t="shared" si="9"/>
        <v>6295</v>
      </c>
      <c r="G59" s="17">
        <f t="shared" si="10"/>
        <v>1339.0982951168598</v>
      </c>
      <c r="H59" s="2">
        <f t="shared" si="11"/>
        <v>895.13912503314612</v>
      </c>
      <c r="I59" s="2">
        <f t="shared" si="12"/>
        <v>12343.742616104088</v>
      </c>
      <c r="J59" s="2"/>
      <c r="K59" s="2">
        <f t="shared" si="13"/>
        <v>388.40678148333404</v>
      </c>
      <c r="L59" s="2">
        <f t="shared" si="21"/>
        <v>6385.2787170098773</v>
      </c>
      <c r="M59" s="2">
        <f t="shared" si="14"/>
        <v>5958.4638990942103</v>
      </c>
      <c r="N59">
        <f t="shared" si="15"/>
        <v>17</v>
      </c>
      <c r="P59" s="92">
        <f t="shared" si="22"/>
        <v>21.272411360077204</v>
      </c>
      <c r="Q59" s="93">
        <f t="shared" si="23"/>
        <v>2.4999999999999911E-2</v>
      </c>
      <c r="R59" s="98">
        <f t="shared" si="19"/>
        <v>1</v>
      </c>
      <c r="S59" s="21">
        <f t="shared" si="24"/>
        <v>8120.8709598493033</v>
      </c>
      <c r="T59" s="93">
        <f t="shared" si="25"/>
        <v>-5.0000000000000044E-3</v>
      </c>
      <c r="U59" s="21">
        <f t="shared" si="26"/>
        <v>6295</v>
      </c>
      <c r="V59" s="98">
        <f t="shared" si="27"/>
        <v>0</v>
      </c>
      <c r="W59" s="15">
        <f t="shared" si="20"/>
        <v>7.0000000000000007E-2</v>
      </c>
      <c r="X59">
        <v>17</v>
      </c>
    </row>
    <row r="60" spans="1:24" ht="15" customHeight="1">
      <c r="A60" s="16">
        <v>18</v>
      </c>
      <c r="B60" s="2">
        <f t="shared" si="16"/>
        <v>12343.742616104088</v>
      </c>
      <c r="C60" s="20">
        <f t="shared" si="17"/>
        <v>21.804221644079131</v>
      </c>
      <c r="D60" s="19">
        <f t="shared" si="18"/>
        <v>8080.2666050500566</v>
      </c>
      <c r="E60" s="2">
        <f t="shared" si="8"/>
        <v>1761.8392399976226</v>
      </c>
      <c r="F60" s="21">
        <f t="shared" si="9"/>
        <v>6295</v>
      </c>
      <c r="G60" s="17">
        <f t="shared" si="10"/>
        <v>1372.5757524947812</v>
      </c>
      <c r="H60" s="2">
        <f t="shared" si="11"/>
        <v>864.06198312728623</v>
      </c>
      <c r="I60" s="2">
        <f t="shared" si="12"/>
        <v>11835.228846736592</v>
      </c>
      <c r="J60" s="2"/>
      <c r="K60" s="2">
        <f t="shared" si="13"/>
        <v>389.26348750284137</v>
      </c>
      <c r="L60" s="2">
        <f t="shared" si="21"/>
        <v>6774.5422045127189</v>
      </c>
      <c r="M60" s="2">
        <f t="shared" si="14"/>
        <v>5060.6866422238736</v>
      </c>
      <c r="N60">
        <f t="shared" si="15"/>
        <v>18</v>
      </c>
      <c r="P60" s="92">
        <f t="shared" si="22"/>
        <v>21.804221644079131</v>
      </c>
      <c r="Q60" s="93">
        <f t="shared" si="23"/>
        <v>2.4999999999999911E-2</v>
      </c>
      <c r="R60" s="98">
        <f t="shared" si="19"/>
        <v>1</v>
      </c>
      <c r="S60" s="21">
        <f t="shared" si="24"/>
        <v>8080.2666050500566</v>
      </c>
      <c r="T60" s="93">
        <f t="shared" si="25"/>
        <v>-5.0000000000000044E-3</v>
      </c>
      <c r="U60" s="21">
        <f t="shared" si="26"/>
        <v>6295</v>
      </c>
      <c r="V60" s="98">
        <f t="shared" si="27"/>
        <v>0</v>
      </c>
      <c r="W60" s="15">
        <f t="shared" si="20"/>
        <v>7.0000000000000007E-2</v>
      </c>
      <c r="X60">
        <v>18</v>
      </c>
    </row>
    <row r="61" spans="1:24" ht="15" customHeight="1">
      <c r="A61" s="16">
        <v>19</v>
      </c>
      <c r="B61" s="2">
        <f t="shared" si="16"/>
        <v>11835.228846736592</v>
      </c>
      <c r="C61" s="20">
        <f t="shared" si="17"/>
        <v>22.349327185181107</v>
      </c>
      <c r="D61" s="19">
        <f t="shared" si="18"/>
        <v>8039.8652720248065</v>
      </c>
      <c r="E61" s="2">
        <f t="shared" si="8"/>
        <v>1796.855794892575</v>
      </c>
      <c r="F61" s="21">
        <f t="shared" si="9"/>
        <v>6295</v>
      </c>
      <c r="G61" s="17">
        <f t="shared" si="10"/>
        <v>1406.8901463071506</v>
      </c>
      <c r="H61" s="2">
        <f t="shared" si="11"/>
        <v>828.46601927156155</v>
      </c>
      <c r="I61" s="2">
        <f t="shared" si="12"/>
        <v>11256.804719701004</v>
      </c>
      <c r="J61" s="2"/>
      <c r="K61" s="2">
        <f t="shared" si="13"/>
        <v>389.96564858542433</v>
      </c>
      <c r="L61" s="2">
        <f t="shared" si="21"/>
        <v>7164.5078530981427</v>
      </c>
      <c r="M61" s="2">
        <f t="shared" si="14"/>
        <v>4092.296866602861</v>
      </c>
      <c r="N61">
        <f t="shared" si="15"/>
        <v>19</v>
      </c>
      <c r="P61" s="92">
        <f t="shared" si="22"/>
        <v>22.349327185181107</v>
      </c>
      <c r="Q61" s="93">
        <f t="shared" si="23"/>
        <v>2.4999999999999911E-2</v>
      </c>
      <c r="R61" s="98">
        <f t="shared" si="19"/>
        <v>1</v>
      </c>
      <c r="S61" s="21">
        <f t="shared" si="24"/>
        <v>8039.8652720248065</v>
      </c>
      <c r="T61" s="93">
        <f t="shared" si="25"/>
        <v>-5.0000000000000044E-3</v>
      </c>
      <c r="U61" s="21">
        <f t="shared" si="26"/>
        <v>6295</v>
      </c>
      <c r="V61" s="98">
        <f t="shared" si="27"/>
        <v>0</v>
      </c>
      <c r="W61" s="15">
        <f t="shared" si="20"/>
        <v>7.0000000000000007E-2</v>
      </c>
      <c r="X61">
        <v>19</v>
      </c>
    </row>
    <row r="62" spans="1:24" ht="15" customHeight="1">
      <c r="A62" s="16">
        <v>20</v>
      </c>
      <c r="B62" s="2">
        <f t="shared" si="16"/>
        <v>11256.804719701004</v>
      </c>
      <c r="C62" s="20">
        <f t="shared" si="17"/>
        <v>22.908060364810634</v>
      </c>
      <c r="D62" s="19">
        <f t="shared" si="18"/>
        <v>7999.6659456646821</v>
      </c>
      <c r="E62" s="2">
        <f t="shared" si="8"/>
        <v>1832.5683038160648</v>
      </c>
      <c r="F62" s="21">
        <f t="shared" si="9"/>
        <v>6295</v>
      </c>
      <c r="G62" s="17">
        <f t="shared" si="10"/>
        <v>1442.0623999648294</v>
      </c>
      <c r="H62" s="2">
        <f t="shared" si="11"/>
        <v>787.9763303790703</v>
      </c>
      <c r="I62" s="2">
        <f t="shared" si="12"/>
        <v>10602.718650115245</v>
      </c>
      <c r="J62" s="2"/>
      <c r="K62" s="2">
        <f t="shared" si="13"/>
        <v>390.50590385123542</v>
      </c>
      <c r="L62" s="2">
        <f t="shared" si="21"/>
        <v>7555.0137569493781</v>
      </c>
      <c r="M62" s="2">
        <f t="shared" si="14"/>
        <v>3047.7048931658665</v>
      </c>
      <c r="N62">
        <f t="shared" si="15"/>
        <v>20</v>
      </c>
      <c r="P62" s="92">
        <f t="shared" si="22"/>
        <v>22.908060364810634</v>
      </c>
      <c r="Q62" s="93">
        <f t="shared" si="23"/>
        <v>2.4999999999999911E-2</v>
      </c>
      <c r="R62" s="98">
        <f t="shared" si="19"/>
        <v>1</v>
      </c>
      <c r="S62" s="21">
        <f t="shared" si="24"/>
        <v>7999.6659456646821</v>
      </c>
      <c r="T62" s="93">
        <f t="shared" si="25"/>
        <v>-5.0000000000000044E-3</v>
      </c>
      <c r="U62" s="21">
        <f t="shared" si="26"/>
        <v>6295</v>
      </c>
      <c r="V62" s="98">
        <f t="shared" si="27"/>
        <v>0</v>
      </c>
      <c r="W62" s="15">
        <f t="shared" si="20"/>
        <v>7.0000000000000007E-2</v>
      </c>
      <c r="X62">
        <v>20</v>
      </c>
    </row>
    <row r="63" spans="1:24" ht="15" customHeight="1">
      <c r="A63" s="16">
        <v>21</v>
      </c>
      <c r="B63" s="2">
        <f t="shared" si="16"/>
        <v>10602.718650115245</v>
      </c>
      <c r="C63" s="20">
        <f t="shared" si="17"/>
        <v>23.480761873930899</v>
      </c>
      <c r="D63" s="19">
        <f t="shared" si="18"/>
        <v>7959.6676159363587</v>
      </c>
      <c r="E63" s="2">
        <f t="shared" si="8"/>
        <v>1868.990598854409</v>
      </c>
      <c r="F63" s="21">
        <f t="shared" si="9"/>
        <v>6295</v>
      </c>
      <c r="G63" s="17">
        <f t="shared" si="10"/>
        <v>1478.11395996395</v>
      </c>
      <c r="H63" s="2">
        <f t="shared" si="11"/>
        <v>742.19030550806724</v>
      </c>
      <c r="I63" s="2">
        <f t="shared" si="12"/>
        <v>9866.794995659362</v>
      </c>
      <c r="J63" s="2"/>
      <c r="K63" s="2">
        <f t="shared" si="13"/>
        <v>390.87663889045893</v>
      </c>
      <c r="L63" s="2">
        <f t="shared" si="21"/>
        <v>7945.8903958398369</v>
      </c>
      <c r="M63" s="2">
        <f t="shared" si="14"/>
        <v>1920.9045998195252</v>
      </c>
      <c r="N63">
        <f t="shared" si="15"/>
        <v>21</v>
      </c>
      <c r="P63" s="92">
        <f t="shared" si="22"/>
        <v>23.480761873930899</v>
      </c>
      <c r="Q63" s="93">
        <f t="shared" si="23"/>
        <v>2.4999999999999911E-2</v>
      </c>
      <c r="R63" s="98">
        <f t="shared" si="19"/>
        <v>1</v>
      </c>
      <c r="S63" s="21">
        <f t="shared" si="24"/>
        <v>7959.6676159363587</v>
      </c>
      <c r="T63" s="93">
        <f t="shared" si="25"/>
        <v>-5.0000000000000044E-3</v>
      </c>
      <c r="U63" s="21">
        <f t="shared" si="26"/>
        <v>6295</v>
      </c>
      <c r="V63" s="98">
        <f t="shared" si="27"/>
        <v>0</v>
      </c>
      <c r="W63" s="15">
        <f t="shared" si="20"/>
        <v>7.0000000000000007E-2</v>
      </c>
      <c r="X63">
        <v>21</v>
      </c>
    </row>
    <row r="64" spans="1:24" ht="15" customHeight="1">
      <c r="A64" s="16">
        <v>22</v>
      </c>
      <c r="B64" s="2">
        <f t="shared" si="16"/>
        <v>9866.794995659362</v>
      </c>
      <c r="C64" s="20">
        <f t="shared" si="17"/>
        <v>24.067780920779168</v>
      </c>
      <c r="D64" s="19">
        <f t="shared" si="18"/>
        <v>7919.8692778566765</v>
      </c>
      <c r="E64" s="2">
        <f t="shared" si="8"/>
        <v>1906.1367870066399</v>
      </c>
      <c r="F64" s="21">
        <f t="shared" si="9"/>
        <v>6295</v>
      </c>
      <c r="G64" s="17">
        <f t="shared" si="10"/>
        <v>1515.0668089630487</v>
      </c>
      <c r="H64" s="2">
        <f t="shared" si="11"/>
        <v>690.67564969615546</v>
      </c>
      <c r="I64" s="2">
        <f t="shared" si="12"/>
        <v>9042.4038363924683</v>
      </c>
      <c r="J64" s="2"/>
      <c r="K64" s="2">
        <f t="shared" si="13"/>
        <v>391.06997804359116</v>
      </c>
      <c r="L64" s="2">
        <f t="shared" si="21"/>
        <v>8336.9603738834285</v>
      </c>
      <c r="M64" s="2">
        <f t="shared" si="14"/>
        <v>705.44346250903982</v>
      </c>
      <c r="N64">
        <f t="shared" si="15"/>
        <v>22</v>
      </c>
      <c r="P64" s="92">
        <f t="shared" si="22"/>
        <v>24.067780920779168</v>
      </c>
      <c r="Q64" s="93">
        <f t="shared" si="23"/>
        <v>2.4999999999999911E-2</v>
      </c>
      <c r="R64" s="98">
        <f t="shared" si="19"/>
        <v>1</v>
      </c>
      <c r="S64" s="21">
        <f t="shared" si="24"/>
        <v>7919.8692778566765</v>
      </c>
      <c r="T64" s="93">
        <f t="shared" si="25"/>
        <v>-5.0000000000000044E-3</v>
      </c>
      <c r="U64" s="21">
        <f t="shared" si="26"/>
        <v>6295</v>
      </c>
      <c r="V64" s="98">
        <f t="shared" si="27"/>
        <v>0</v>
      </c>
      <c r="W64" s="15">
        <f t="shared" si="20"/>
        <v>7.0000000000000007E-2</v>
      </c>
      <c r="X64">
        <v>22</v>
      </c>
    </row>
    <row r="65" spans="1:24" ht="15" customHeight="1">
      <c r="A65" s="16">
        <v>23</v>
      </c>
      <c r="B65" s="2">
        <f t="shared" si="16"/>
        <v>9042.4038363924683</v>
      </c>
      <c r="C65" s="20">
        <f t="shared" si="17"/>
        <v>24.669475443798646</v>
      </c>
      <c r="D65" s="19">
        <f t="shared" si="18"/>
        <v>7880.2699314673928</v>
      </c>
      <c r="E65" s="2">
        <f t="shared" si="8"/>
        <v>1944.0212556483968</v>
      </c>
      <c r="F65" s="21">
        <f t="shared" si="9"/>
        <v>6295</v>
      </c>
      <c r="G65" s="17">
        <f t="shared" si="10"/>
        <v>1552.9434791871247</v>
      </c>
      <c r="H65" s="2">
        <f t="shared" si="11"/>
        <v>632.9682685474728</v>
      </c>
      <c r="I65" s="2">
        <f t="shared" si="12"/>
        <v>8122.4286257528165</v>
      </c>
      <c r="J65" s="2"/>
      <c r="K65" s="2">
        <f t="shared" si="13"/>
        <v>391.07777646127215</v>
      </c>
      <c r="L65" s="2">
        <f t="shared" si="21"/>
        <v>8728.0381503447006</v>
      </c>
      <c r="M65" s="2">
        <f t="shared" si="14"/>
        <v>-605.60952459188411</v>
      </c>
      <c r="N65">
        <f t="shared" si="15"/>
        <v>23</v>
      </c>
      <c r="P65" s="92">
        <f t="shared" si="22"/>
        <v>24.669475443798646</v>
      </c>
      <c r="Q65" s="93">
        <f t="shared" si="23"/>
        <v>2.4999999999999911E-2</v>
      </c>
      <c r="R65" s="98">
        <f t="shared" si="19"/>
        <v>1</v>
      </c>
      <c r="S65" s="21">
        <f t="shared" si="24"/>
        <v>7880.2699314673928</v>
      </c>
      <c r="T65" s="93">
        <f t="shared" si="25"/>
        <v>-5.0000000000000044E-3</v>
      </c>
      <c r="U65" s="21">
        <f t="shared" si="26"/>
        <v>6295</v>
      </c>
      <c r="V65" s="98">
        <f t="shared" si="27"/>
        <v>0</v>
      </c>
      <c r="W65" s="15">
        <f t="shared" si="20"/>
        <v>7.0000000000000007E-2</v>
      </c>
      <c r="X65">
        <v>23</v>
      </c>
    </row>
    <row r="66" spans="1:24" ht="15" customHeight="1">
      <c r="A66" s="16">
        <v>24</v>
      </c>
      <c r="B66" s="2">
        <f t="shared" si="16"/>
        <v>8122.4286257528165</v>
      </c>
      <c r="C66" s="20">
        <f t="shared" si="17"/>
        <v>25.286212329893608</v>
      </c>
      <c r="D66" s="19">
        <f t="shared" si="18"/>
        <v>7840.8685818100557</v>
      </c>
      <c r="E66" s="2">
        <f t="shared" si="8"/>
        <v>1982.6586781044084</v>
      </c>
      <c r="F66" s="21">
        <f t="shared" si="9"/>
        <v>6295</v>
      </c>
      <c r="G66" s="17">
        <f t="shared" si="10"/>
        <v>1591.7670661668026</v>
      </c>
      <c r="H66" s="2">
        <f t="shared" si="11"/>
        <v>568.57000380269722</v>
      </c>
      <c r="I66" s="2">
        <f t="shared" si="12"/>
        <v>7099.231563388711</v>
      </c>
      <c r="J66" s="2"/>
      <c r="K66" s="2">
        <f t="shared" si="13"/>
        <v>390.89161193760583</v>
      </c>
      <c r="L66" s="2">
        <f t="shared" si="21"/>
        <v>9118.9297622823069</v>
      </c>
      <c r="M66" s="2">
        <f t="shared" si="14"/>
        <v>-2019.6981988935959</v>
      </c>
      <c r="N66">
        <f t="shared" si="15"/>
        <v>24</v>
      </c>
      <c r="P66" s="92">
        <f t="shared" si="22"/>
        <v>25.286212329893608</v>
      </c>
      <c r="Q66" s="93">
        <f t="shared" si="23"/>
        <v>2.4999999999999911E-2</v>
      </c>
      <c r="R66" s="98">
        <f t="shared" si="19"/>
        <v>1</v>
      </c>
      <c r="S66" s="21">
        <f t="shared" si="24"/>
        <v>7840.8685818100557</v>
      </c>
      <c r="T66" s="93">
        <f t="shared" si="25"/>
        <v>-5.0000000000000044E-3</v>
      </c>
      <c r="U66" s="21">
        <f t="shared" si="26"/>
        <v>6295</v>
      </c>
      <c r="V66" s="98">
        <f t="shared" si="27"/>
        <v>0</v>
      </c>
      <c r="W66" s="15">
        <f t="shared" si="20"/>
        <v>7.0000000000000007E-2</v>
      </c>
      <c r="X66">
        <v>24</v>
      </c>
    </row>
    <row r="67" spans="1:24" ht="15" customHeight="1">
      <c r="A67" s="16">
        <v>25</v>
      </c>
      <c r="B67" s="2">
        <f t="shared" si="16"/>
        <v>7099.231563388711</v>
      </c>
      <c r="C67" s="20">
        <f t="shared" si="17"/>
        <v>25.918367638140946</v>
      </c>
      <c r="D67" s="19">
        <f t="shared" si="18"/>
        <v>7801.6642389010058</v>
      </c>
      <c r="E67" s="2">
        <f t="shared" si="8"/>
        <v>2022.0640193317336</v>
      </c>
      <c r="F67" s="21">
        <f t="shared" si="9"/>
        <v>6295</v>
      </c>
      <c r="G67" s="17">
        <f t="shared" si="10"/>
        <v>1631.5612428209727</v>
      </c>
      <c r="H67" s="2">
        <f t="shared" si="11"/>
        <v>496.9462094372098</v>
      </c>
      <c r="I67" s="2">
        <f t="shared" si="12"/>
        <v>5964.6165300049488</v>
      </c>
      <c r="J67" s="2"/>
      <c r="K67" s="2">
        <f t="shared" si="13"/>
        <v>390.5027765107609</v>
      </c>
      <c r="L67" s="2">
        <f t="shared" si="21"/>
        <v>9509.4325387930676</v>
      </c>
      <c r="M67" s="2">
        <f t="shared" si="14"/>
        <v>-3544.8160087881188</v>
      </c>
      <c r="N67">
        <f t="shared" si="15"/>
        <v>25</v>
      </c>
      <c r="P67" s="92">
        <f t="shared" si="22"/>
        <v>25.918367638140946</v>
      </c>
      <c r="Q67" s="93">
        <f t="shared" si="23"/>
        <v>2.4999999999999911E-2</v>
      </c>
      <c r="R67" s="98">
        <f t="shared" si="19"/>
        <v>1</v>
      </c>
      <c r="S67" s="21">
        <f t="shared" si="24"/>
        <v>7801.6642389010058</v>
      </c>
      <c r="T67" s="93">
        <f t="shared" si="25"/>
        <v>-5.0000000000000044E-3</v>
      </c>
      <c r="U67" s="21">
        <f t="shared" si="26"/>
        <v>6295</v>
      </c>
      <c r="V67" s="98">
        <f t="shared" si="27"/>
        <v>0</v>
      </c>
      <c r="W67" s="15">
        <f t="shared" si="20"/>
        <v>7.0000000000000007E-2</v>
      </c>
      <c r="X67">
        <v>25</v>
      </c>
    </row>
    <row r="68" spans="1:24" ht="15" customHeight="1">
      <c r="A68" s="16">
        <v>26</v>
      </c>
      <c r="B68" s="2">
        <f t="shared" si="16"/>
        <v>5964.6165300049488</v>
      </c>
      <c r="C68" s="20">
        <f t="shared" si="17"/>
        <v>26.566326829094468</v>
      </c>
      <c r="D68" s="19">
        <f t="shared" si="18"/>
        <v>7762.655917706501</v>
      </c>
      <c r="E68" s="2">
        <f t="shared" si="8"/>
        <v>2062.2525417159513</v>
      </c>
      <c r="F68" s="21">
        <f t="shared" si="9"/>
        <v>6295</v>
      </c>
      <c r="G68" s="17">
        <f t="shared" si="10"/>
        <v>1672.3502738914967</v>
      </c>
      <c r="H68" s="2">
        <f t="shared" si="11"/>
        <v>417.52315710034645</v>
      </c>
      <c r="I68" s="2">
        <f t="shared" si="12"/>
        <v>4709.789413213799</v>
      </c>
      <c r="J68" s="2"/>
      <c r="K68" s="2">
        <f t="shared" si="13"/>
        <v>389.90226782445461</v>
      </c>
      <c r="L68" s="2">
        <f t="shared" si="21"/>
        <v>9899.3348066175222</v>
      </c>
      <c r="M68" s="2">
        <f t="shared" si="14"/>
        <v>-5189.5453934037232</v>
      </c>
      <c r="N68">
        <f t="shared" si="15"/>
        <v>26</v>
      </c>
      <c r="P68" s="92">
        <f t="shared" si="22"/>
        <v>26.566326829094468</v>
      </c>
      <c r="Q68" s="93">
        <f t="shared" si="23"/>
        <v>2.4999999999999911E-2</v>
      </c>
      <c r="R68" s="98">
        <f t="shared" si="19"/>
        <v>1</v>
      </c>
      <c r="S68" s="21">
        <f t="shared" si="24"/>
        <v>7762.655917706501</v>
      </c>
      <c r="T68" s="93">
        <f t="shared" si="25"/>
        <v>-5.0000000000000044E-3</v>
      </c>
      <c r="U68" s="21">
        <f t="shared" si="26"/>
        <v>6295</v>
      </c>
      <c r="V68" s="98">
        <f t="shared" si="27"/>
        <v>0</v>
      </c>
      <c r="W68" s="15">
        <f t="shared" si="20"/>
        <v>7.0000000000000007E-2</v>
      </c>
      <c r="X68">
        <v>26</v>
      </c>
    </row>
    <row r="69" spans="1:24" ht="15" customHeight="1">
      <c r="A69" s="16">
        <v>27</v>
      </c>
      <c r="B69" s="2">
        <f t="shared" si="16"/>
        <v>4709.789413213799</v>
      </c>
      <c r="C69" s="20">
        <f t="shared" si="17"/>
        <v>27.230484999821826</v>
      </c>
      <c r="D69" s="19">
        <f t="shared" si="18"/>
        <v>7723.8426381179688</v>
      </c>
      <c r="E69" s="2">
        <f t="shared" si="8"/>
        <v>2103.2398109825558</v>
      </c>
      <c r="F69" s="21">
        <f t="shared" si="9"/>
        <v>6295</v>
      </c>
      <c r="G69" s="17">
        <f t="shared" si="10"/>
        <v>1714.1590307387842</v>
      </c>
      <c r="H69" s="2">
        <f t="shared" si="11"/>
        <v>329.68525892496598</v>
      </c>
      <c r="I69" s="2">
        <f t="shared" si="12"/>
        <v>3325.3156413999809</v>
      </c>
      <c r="J69" s="2"/>
      <c r="K69" s="2">
        <f t="shared" si="13"/>
        <v>389.08078024377164</v>
      </c>
      <c r="L69" s="2">
        <f t="shared" si="21"/>
        <v>10288.415586861294</v>
      </c>
      <c r="M69" s="2">
        <f t="shared" si="14"/>
        <v>-6963.0999454613138</v>
      </c>
      <c r="N69">
        <f t="shared" si="15"/>
        <v>27</v>
      </c>
      <c r="P69" s="92">
        <f t="shared" si="22"/>
        <v>27.230484999821826</v>
      </c>
      <c r="Q69" s="93">
        <f t="shared" si="23"/>
        <v>2.4999999999999911E-2</v>
      </c>
      <c r="R69" s="98">
        <f t="shared" si="19"/>
        <v>1</v>
      </c>
      <c r="S69" s="21">
        <f t="shared" si="24"/>
        <v>7723.8426381179688</v>
      </c>
      <c r="T69" s="93">
        <f t="shared" si="25"/>
        <v>-5.0000000000000044E-3</v>
      </c>
      <c r="U69" s="21">
        <f t="shared" si="26"/>
        <v>6295</v>
      </c>
      <c r="V69" s="98">
        <f t="shared" si="27"/>
        <v>0</v>
      </c>
      <c r="W69" s="15">
        <f t="shared" si="20"/>
        <v>7.0000000000000007E-2</v>
      </c>
      <c r="X69">
        <v>27</v>
      </c>
    </row>
    <row r="70" spans="1:24" ht="15" customHeight="1">
      <c r="A70" s="16">
        <v>28</v>
      </c>
      <c r="B70" s="2">
        <f t="shared" si="16"/>
        <v>3325.3156413999809</v>
      </c>
      <c r="C70" s="20">
        <f t="shared" si="17"/>
        <v>27.911247124817368</v>
      </c>
      <c r="D70" s="19">
        <f t="shared" si="18"/>
        <v>7685.2234249273788</v>
      </c>
      <c r="E70" s="2">
        <f t="shared" si="8"/>
        <v>2145.0417022258339</v>
      </c>
      <c r="F70" s="21">
        <f t="shared" si="9"/>
        <v>6295</v>
      </c>
      <c r="G70" s="17">
        <f t="shared" si="10"/>
        <v>1757.0130065072535</v>
      </c>
      <c r="H70" s="2">
        <f t="shared" si="11"/>
        <v>232.7720948979987</v>
      </c>
      <c r="I70" s="2">
        <f t="shared" si="12"/>
        <v>1801.074729790726</v>
      </c>
      <c r="J70" s="2"/>
      <c r="K70" s="2">
        <f t="shared" si="13"/>
        <v>388.02869571858037</v>
      </c>
      <c r="L70" s="2">
        <f t="shared" si="21"/>
        <v>10676.444282579874</v>
      </c>
      <c r="M70" s="2">
        <f t="shared" si="14"/>
        <v>-8875.3695527891487</v>
      </c>
      <c r="N70">
        <f t="shared" si="15"/>
        <v>28</v>
      </c>
      <c r="P70" s="92">
        <f t="shared" si="22"/>
        <v>27.911247124817368</v>
      </c>
      <c r="Q70" s="93">
        <f t="shared" si="23"/>
        <v>2.4999999999999911E-2</v>
      </c>
      <c r="R70" s="98">
        <f t="shared" si="19"/>
        <v>1</v>
      </c>
      <c r="S70" s="21">
        <f t="shared" si="24"/>
        <v>7685.2234249273788</v>
      </c>
      <c r="T70" s="93">
        <f t="shared" si="25"/>
        <v>-5.0000000000000044E-3</v>
      </c>
      <c r="U70" s="21">
        <f t="shared" si="26"/>
        <v>6295</v>
      </c>
      <c r="V70" s="98">
        <f t="shared" si="27"/>
        <v>0</v>
      </c>
      <c r="W70" s="15">
        <f t="shared" si="20"/>
        <v>7.0000000000000007E-2</v>
      </c>
      <c r="X70">
        <v>28</v>
      </c>
    </row>
    <row r="71" spans="1:24" ht="15" customHeight="1">
      <c r="A71" s="16">
        <v>29</v>
      </c>
      <c r="B71" s="2">
        <f t="shared" si="16"/>
        <v>1801.074729790726</v>
      </c>
      <c r="C71" s="20">
        <f t="shared" si="17"/>
        <v>28.609028302937801</v>
      </c>
      <c r="D71" s="19">
        <f t="shared" si="18"/>
        <v>7646.7973078027417</v>
      </c>
      <c r="E71" s="2">
        <f t="shared" si="8"/>
        <v>2187.674406057572</v>
      </c>
      <c r="F71" s="21">
        <f t="shared" si="9"/>
        <v>6295</v>
      </c>
      <c r="G71" s="17">
        <f t="shared" si="10"/>
        <v>1800.9383316699345</v>
      </c>
      <c r="H71" s="2">
        <f t="shared" si="11"/>
        <v>126.07523108535084</v>
      </c>
      <c r="I71" s="2">
        <f t="shared" si="12"/>
        <v>126.21162920614229</v>
      </c>
      <c r="J71" s="2"/>
      <c r="K71" s="2">
        <f t="shared" si="13"/>
        <v>386.73607438763747</v>
      </c>
      <c r="L71" s="2">
        <f t="shared" si="21"/>
        <v>11063.180356967512</v>
      </c>
      <c r="M71" s="2">
        <f t="shared" si="14"/>
        <v>-10936.96872776137</v>
      </c>
      <c r="N71">
        <f t="shared" si="15"/>
        <v>29</v>
      </c>
      <c r="P71" s="92">
        <f t="shared" si="22"/>
        <v>28.609028302937801</v>
      </c>
      <c r="Q71" s="93">
        <f t="shared" si="23"/>
        <v>2.4999999999999911E-2</v>
      </c>
      <c r="R71" s="98">
        <f t="shared" si="19"/>
        <v>1</v>
      </c>
      <c r="S71" s="21">
        <f t="shared" si="24"/>
        <v>7646.7973078027417</v>
      </c>
      <c r="T71" s="93">
        <f t="shared" si="25"/>
        <v>-5.0000000000000044E-3</v>
      </c>
      <c r="U71" s="21">
        <f t="shared" si="26"/>
        <v>6295</v>
      </c>
      <c r="V71" s="98">
        <f t="shared" si="27"/>
        <v>0</v>
      </c>
      <c r="W71" s="15">
        <f t="shared" si="20"/>
        <v>7.0000000000000007E-2</v>
      </c>
      <c r="X71">
        <v>29</v>
      </c>
    </row>
    <row r="72" spans="1:24" ht="15" customHeight="1">
      <c r="A72" s="16">
        <v>30</v>
      </c>
      <c r="B72" s="2">
        <f t="shared" si="16"/>
        <v>126.21162920614229</v>
      </c>
      <c r="C72" s="20">
        <f t="shared" si="17"/>
        <v>29.324254010511243</v>
      </c>
      <c r="D72" s="19">
        <f t="shared" si="18"/>
        <v>7608.5633212637276</v>
      </c>
      <c r="E72" s="2">
        <f t="shared" si="8"/>
        <v>2231.1544348779662</v>
      </c>
      <c r="F72" s="21">
        <f t="shared" si="9"/>
        <v>6295</v>
      </c>
      <c r="G72" s="17">
        <f t="shared" si="10"/>
        <v>1845.9617899616828</v>
      </c>
      <c r="H72" s="2">
        <f t="shared" si="11"/>
        <v>8.8348140444299617</v>
      </c>
      <c r="I72" s="2">
        <f t="shared" si="12"/>
        <v>-1710.9153467111105</v>
      </c>
      <c r="J72" s="2"/>
      <c r="K72" s="2">
        <f t="shared" si="13"/>
        <v>385.19264491628337</v>
      </c>
      <c r="L72" s="2">
        <f t="shared" si="21"/>
        <v>11448.373001883796</v>
      </c>
      <c r="M72" s="2">
        <f t="shared" si="14"/>
        <v>-13159.288348594906</v>
      </c>
      <c r="N72">
        <f t="shared" si="15"/>
        <v>30</v>
      </c>
      <c r="P72" s="92">
        <f t="shared" si="22"/>
        <v>29.324254010511243</v>
      </c>
      <c r="Q72" s="93">
        <f t="shared" si="23"/>
        <v>2.4999999999999911E-2</v>
      </c>
      <c r="R72" s="98">
        <f t="shared" si="19"/>
        <v>1</v>
      </c>
      <c r="S72" s="21">
        <f t="shared" si="24"/>
        <v>7608.5633212637276</v>
      </c>
      <c r="T72" s="93">
        <f t="shared" si="25"/>
        <v>-5.0000000000000044E-3</v>
      </c>
      <c r="U72" s="21">
        <f t="shared" si="26"/>
        <v>6295</v>
      </c>
      <c r="V72" s="98">
        <f t="shared" si="27"/>
        <v>0</v>
      </c>
      <c r="W72" s="15">
        <f t="shared" si="20"/>
        <v>7.0000000000000007E-2</v>
      </c>
      <c r="X72">
        <v>30</v>
      </c>
    </row>
    <row r="73" spans="1:24" ht="15" customHeight="1">
      <c r="A73" s="16"/>
      <c r="B73" s="31"/>
      <c r="G73" s="36" t="s">
        <v>75</v>
      </c>
      <c r="H73" s="28"/>
      <c r="J73" s="37"/>
      <c r="L73" s="38"/>
      <c r="M73" s="4" t="s">
        <v>53</v>
      </c>
      <c r="N73" s="31"/>
      <c r="P73" s="2"/>
      <c r="Q73" s="85"/>
      <c r="R73" s="5"/>
      <c r="T73" s="93"/>
    </row>
    <row r="74" spans="1:24" ht="15" customHeight="1">
      <c r="A74" s="47" t="s">
        <v>122</v>
      </c>
      <c r="B74" s="31"/>
      <c r="G74" s="36"/>
      <c r="H74" s="28"/>
      <c r="J74" s="37"/>
      <c r="L74" s="38"/>
      <c r="M74" s="4"/>
      <c r="N74" s="31"/>
      <c r="P74" s="2"/>
      <c r="Q74" s="4"/>
      <c r="R74" s="5"/>
    </row>
    <row r="75" spans="1:24" ht="15" customHeight="1">
      <c r="A75" t="s">
        <v>242</v>
      </c>
      <c r="B75" s="31"/>
      <c r="G75" s="36"/>
      <c r="H75" s="28"/>
      <c r="J75" s="37"/>
      <c r="L75" s="38"/>
      <c r="M75" s="4"/>
      <c r="N75" s="31"/>
      <c r="P75" s="2"/>
      <c r="Q75" s="4"/>
      <c r="R75" s="5"/>
    </row>
    <row r="76" spans="1:24" ht="15" customHeight="1">
      <c r="A76" s="47"/>
      <c r="B76" s="31"/>
      <c r="G76" s="36"/>
      <c r="H76" s="28"/>
      <c r="J76" s="37"/>
      <c r="L76" s="38"/>
      <c r="M76" s="4"/>
      <c r="N76" s="31"/>
      <c r="P76" s="2"/>
      <c r="Q76" s="4"/>
      <c r="R76" s="5"/>
    </row>
    <row r="77" spans="1:24" ht="15" customHeight="1">
      <c r="A77" s="14" t="s">
        <v>190</v>
      </c>
      <c r="B77" s="31"/>
      <c r="G77" s="36"/>
      <c r="H77" s="28"/>
      <c r="J77" s="37"/>
      <c r="L77" s="38"/>
      <c r="M77" s="4"/>
      <c r="N77" s="31"/>
      <c r="P77" s="2"/>
      <c r="Q77" s="4"/>
      <c r="R77" s="5"/>
    </row>
    <row r="78" spans="1:24" ht="15" customHeight="1">
      <c r="B78" s="31"/>
      <c r="G78" s="36"/>
      <c r="H78" s="28"/>
      <c r="J78" s="37"/>
      <c r="L78" s="38"/>
      <c r="M78" s="4"/>
      <c r="N78" s="31"/>
      <c r="P78" s="2"/>
      <c r="Q78" s="4"/>
      <c r="R78" s="5"/>
    </row>
    <row r="79" spans="1:24" ht="15" customHeight="1">
      <c r="A79" t="s">
        <v>189</v>
      </c>
      <c r="B79" s="31"/>
      <c r="G79" s="36"/>
      <c r="H79" s="28"/>
      <c r="J79" s="37"/>
      <c r="L79" s="38"/>
      <c r="M79" s="4"/>
      <c r="N79" s="31"/>
      <c r="P79" s="2"/>
      <c r="Q79" s="4"/>
      <c r="R79" s="5"/>
    </row>
    <row r="80" spans="1:24" ht="15" customHeight="1">
      <c r="A80" s="16"/>
      <c r="B80" s="31"/>
      <c r="G80" s="36"/>
      <c r="H80" s="28"/>
      <c r="J80" s="37"/>
      <c r="L80" s="38"/>
      <c r="M80" s="4"/>
      <c r="N80" s="31"/>
      <c r="P80" s="2"/>
      <c r="Q80" s="4"/>
      <c r="R80" s="5"/>
    </row>
    <row r="81" spans="1:17" ht="15" customHeight="1">
      <c r="A81" s="16"/>
      <c r="B81" s="31"/>
      <c r="C81" s="36"/>
      <c r="D81" s="36"/>
      <c r="E81" s="36"/>
      <c r="F81" s="36"/>
      <c r="G81" s="36"/>
      <c r="H81" s="28"/>
      <c r="I81" s="37"/>
      <c r="J81" s="37"/>
      <c r="K81" s="38"/>
      <c r="L81" s="38"/>
      <c r="M81" s="31"/>
      <c r="N81" s="31"/>
      <c r="P81" s="2"/>
      <c r="Q81" s="17"/>
    </row>
    <row r="82" spans="1:17" ht="15" customHeight="1">
      <c r="A82" s="23" t="s">
        <v>56</v>
      </c>
      <c r="H82" s="15"/>
    </row>
    <row r="83" spans="1:17" ht="15" customHeight="1">
      <c r="A83" t="s">
        <v>95</v>
      </c>
    </row>
    <row r="84" spans="1:17" ht="15" customHeight="1">
      <c r="A84" t="s">
        <v>96</v>
      </c>
    </row>
    <row r="85" spans="1:17" ht="15" customHeight="1">
      <c r="A85" t="s">
        <v>97</v>
      </c>
    </row>
    <row r="86" spans="1:17" ht="15" customHeight="1">
      <c r="A86" t="s">
        <v>201</v>
      </c>
    </row>
    <row r="87" spans="1:17" ht="15" customHeight="1">
      <c r="A87" t="s">
        <v>92</v>
      </c>
    </row>
    <row r="88" spans="1:17" ht="15" customHeight="1">
      <c r="A88" t="s">
        <v>94</v>
      </c>
    </row>
    <row r="89" spans="1:17" ht="15" customHeight="1">
      <c r="A89" t="s">
        <v>93</v>
      </c>
    </row>
    <row r="90" spans="1:17" ht="15" customHeight="1">
      <c r="A90" t="s">
        <v>80</v>
      </c>
    </row>
    <row r="91" spans="1:17" ht="15" customHeight="1">
      <c r="A91" t="s">
        <v>77</v>
      </c>
    </row>
    <row r="92" spans="1:17" ht="15" customHeight="1">
      <c r="B92" t="s">
        <v>98</v>
      </c>
    </row>
    <row r="93" spans="1:17" ht="15" customHeight="1">
      <c r="A93" t="s">
        <v>99</v>
      </c>
    </row>
    <row r="94" spans="1:17" ht="15" customHeight="1"/>
    <row r="95" spans="1:17" ht="15" customHeight="1"/>
    <row r="96" spans="1:17" ht="15" customHeight="1">
      <c r="A96" s="5" t="s">
        <v>39</v>
      </c>
    </row>
    <row r="97" spans="1:3" ht="15" customHeight="1">
      <c r="B97" t="s">
        <v>40</v>
      </c>
    </row>
    <row r="98" spans="1:3" ht="15" customHeight="1">
      <c r="B98" t="s">
        <v>41</v>
      </c>
    </row>
    <row r="99" spans="1:3" ht="15" customHeight="1">
      <c r="B99" t="s">
        <v>76</v>
      </c>
    </row>
    <row r="100" spans="1:3" ht="15" customHeight="1">
      <c r="B100" s="9" t="s">
        <v>59</v>
      </c>
    </row>
    <row r="101" spans="1:3" ht="15" customHeight="1">
      <c r="B101" s="9"/>
      <c r="C101" t="s">
        <v>36</v>
      </c>
    </row>
    <row r="102" spans="1:3" ht="15" customHeight="1">
      <c r="B102" t="s">
        <v>37</v>
      </c>
    </row>
    <row r="103" spans="1:3" ht="15" customHeight="1">
      <c r="A103" t="s">
        <v>42</v>
      </c>
    </row>
    <row r="104" spans="1:3" ht="15" customHeight="1">
      <c r="A104" t="s">
        <v>270</v>
      </c>
    </row>
    <row r="105" spans="1:3" ht="15" customHeight="1"/>
    <row r="106" spans="1:3" ht="15" customHeight="1">
      <c r="A106" t="s">
        <v>267</v>
      </c>
    </row>
    <row r="107" spans="1:3" ht="15" customHeight="1">
      <c r="A107" t="s">
        <v>264</v>
      </c>
    </row>
    <row r="108" spans="1:3" ht="15" customHeight="1">
      <c r="A108" t="s">
        <v>268</v>
      </c>
    </row>
    <row r="109" spans="1:3" ht="15" customHeight="1">
      <c r="A109" t="s">
        <v>266</v>
      </c>
    </row>
    <row r="110" spans="1:3" ht="15" customHeight="1">
      <c r="A110" t="s">
        <v>269</v>
      </c>
    </row>
    <row r="111" spans="1:3" ht="15" customHeight="1">
      <c r="A111" t="s">
        <v>265</v>
      </c>
    </row>
    <row r="112" spans="1:3" ht="15" customHeight="1"/>
    <row r="113" ht="15" customHeight="1"/>
  </sheetData>
  <mergeCells count="4">
    <mergeCell ref="K41:L41"/>
    <mergeCell ref="C16:G16"/>
    <mergeCell ref="H16:I16"/>
    <mergeCell ref="P41:Z41"/>
  </mergeCells>
  <conditionalFormatting sqref="M43:M72">
    <cfRule type="cellIs" dxfId="1" priority="1" operator="lessThan">
      <formula>0</formula>
    </cfRule>
    <cfRule type="cellIs" dxfId="0" priority="2" operator="lessThan">
      <formula>0</formula>
    </cfRule>
  </conditionalFormatting>
  <pageMargins left="0.7" right="0.7" top="0.75" bottom="0.75" header="0.3" footer="0.3"/>
  <pageSetup orientation="portrait" horizontalDpi="4294967293" verticalDpi="4294967293" r:id="rId1"/>
  <ignoredErrors>
    <ignoredError sqref="S44 S45:S72 U44:U72" formula="1"/>
  </ignoredErrors>
</worksheet>
</file>

<file path=xl/worksheets/sheet6.xml><?xml version="1.0" encoding="utf-8"?>
<worksheet xmlns="http://schemas.openxmlformats.org/spreadsheetml/2006/main" xmlns:r="http://schemas.openxmlformats.org/officeDocument/2006/relationships">
  <dimension ref="A1:K46"/>
  <sheetViews>
    <sheetView workbookViewId="0">
      <selection activeCell="A2" sqref="A2"/>
    </sheetView>
  </sheetViews>
  <sheetFormatPr defaultRowHeight="14.5"/>
  <cols>
    <col min="1" max="12" width="12.6328125" customWidth="1"/>
    <col min="13" max="26" width="11.6328125" customWidth="1"/>
  </cols>
  <sheetData>
    <row r="1" spans="1:11" ht="25" customHeight="1">
      <c r="A1" s="59" t="s">
        <v>176</v>
      </c>
    </row>
    <row r="2" spans="1:11" ht="15" customHeight="1"/>
    <row r="3" spans="1:11" ht="15" customHeight="1">
      <c r="A3" s="9" t="s">
        <v>183</v>
      </c>
    </row>
    <row r="4" spans="1:11" ht="15" customHeight="1">
      <c r="A4" s="9" t="s">
        <v>85</v>
      </c>
    </row>
    <row r="5" spans="1:11" ht="15" customHeight="1">
      <c r="A5" s="6" t="s">
        <v>139</v>
      </c>
    </row>
    <row r="6" spans="1:11" ht="15" customHeight="1">
      <c r="A6" s="9"/>
    </row>
    <row r="7" spans="1:11" ht="15" customHeight="1">
      <c r="A7" s="5" t="s">
        <v>224</v>
      </c>
    </row>
    <row r="8" spans="1:11" ht="15" customHeight="1">
      <c r="A8" t="s">
        <v>184</v>
      </c>
    </row>
    <row r="9" spans="1:11" ht="15" customHeight="1">
      <c r="A9" s="5"/>
    </row>
    <row r="10" spans="1:11" ht="20" customHeight="1">
      <c r="A10" s="136" t="s">
        <v>174</v>
      </c>
      <c r="B10" s="136"/>
      <c r="C10" s="136"/>
      <c r="D10" s="136"/>
      <c r="E10" s="136"/>
      <c r="F10" s="136"/>
      <c r="G10" s="136"/>
      <c r="H10" s="136"/>
      <c r="I10" s="136"/>
      <c r="J10" s="136"/>
      <c r="K10" s="136"/>
    </row>
    <row r="11" spans="1:11" ht="15" customHeight="1">
      <c r="A11" s="76" t="s">
        <v>172</v>
      </c>
      <c r="B11" s="76">
        <f>SUM(C11:K11)</f>
        <v>7200</v>
      </c>
      <c r="C11" s="76">
        <v>3200</v>
      </c>
      <c r="D11" s="76">
        <v>800</v>
      </c>
      <c r="E11" s="76">
        <v>3200</v>
      </c>
      <c r="F11" s="76"/>
      <c r="G11" s="76"/>
      <c r="H11" s="76"/>
      <c r="I11" s="76"/>
      <c r="J11" s="76"/>
      <c r="K11" s="76"/>
    </row>
    <row r="12" spans="1:11" ht="15" customHeight="1">
      <c r="B12" s="68" t="s">
        <v>13</v>
      </c>
      <c r="C12" s="68" t="s">
        <v>181</v>
      </c>
      <c r="D12" s="68" t="s">
        <v>180</v>
      </c>
      <c r="E12" s="68" t="s">
        <v>182</v>
      </c>
      <c r="F12" s="77"/>
      <c r="G12" s="77"/>
      <c r="H12" s="77"/>
      <c r="I12" s="77"/>
      <c r="J12" s="77"/>
      <c r="K12" s="77"/>
    </row>
    <row r="13" spans="1:11" ht="15" customHeight="1">
      <c r="A13" s="39" t="s">
        <v>12</v>
      </c>
      <c r="B13" s="39" t="s">
        <v>171</v>
      </c>
      <c r="C13" s="39" t="s">
        <v>168</v>
      </c>
      <c r="D13" s="39" t="s">
        <v>167</v>
      </c>
      <c r="E13" s="39" t="s">
        <v>169</v>
      </c>
      <c r="F13" s="39" t="s">
        <v>146</v>
      </c>
      <c r="G13" s="39" t="s">
        <v>147</v>
      </c>
      <c r="H13" s="39" t="s">
        <v>148</v>
      </c>
      <c r="I13" s="39" t="s">
        <v>149</v>
      </c>
      <c r="J13" s="39" t="s">
        <v>150</v>
      </c>
      <c r="K13" s="39" t="s">
        <v>170</v>
      </c>
    </row>
    <row r="14" spans="1:11" ht="15" customHeight="1">
      <c r="A14" s="1" t="s">
        <v>0</v>
      </c>
      <c r="B14">
        <f t="shared" ref="B14:B26" si="0">SUM(C14:K14)</f>
        <v>444</v>
      </c>
      <c r="C14">
        <v>208</v>
      </c>
      <c r="D14">
        <v>75</v>
      </c>
      <c r="E14">
        <v>161</v>
      </c>
    </row>
    <row r="15" spans="1:11" ht="15" customHeight="1">
      <c r="A15" s="1" t="s">
        <v>1</v>
      </c>
      <c r="B15">
        <f t="shared" si="0"/>
        <v>553</v>
      </c>
      <c r="C15">
        <v>254</v>
      </c>
      <c r="D15">
        <v>84</v>
      </c>
      <c r="E15">
        <v>215</v>
      </c>
    </row>
    <row r="16" spans="1:11" ht="15" customHeight="1">
      <c r="A16" s="1" t="s">
        <v>2</v>
      </c>
      <c r="B16">
        <f t="shared" si="0"/>
        <v>797</v>
      </c>
      <c r="C16">
        <v>369</v>
      </c>
      <c r="D16">
        <v>108</v>
      </c>
      <c r="E16">
        <v>320</v>
      </c>
    </row>
    <row r="17" spans="1:11" ht="15" customHeight="1">
      <c r="A17" s="1" t="s">
        <v>3</v>
      </c>
      <c r="B17">
        <f t="shared" si="0"/>
        <v>921</v>
      </c>
      <c r="C17">
        <v>422</v>
      </c>
      <c r="D17">
        <v>114</v>
      </c>
      <c r="E17">
        <v>385</v>
      </c>
    </row>
    <row r="18" spans="1:11" ht="15" customHeight="1">
      <c r="A18" s="1" t="s">
        <v>4</v>
      </c>
      <c r="B18">
        <f t="shared" si="0"/>
        <v>1026</v>
      </c>
      <c r="C18">
        <v>485</v>
      </c>
      <c r="D18">
        <v>117</v>
      </c>
      <c r="E18">
        <v>424</v>
      </c>
    </row>
    <row r="19" spans="1:11" ht="15" customHeight="1">
      <c r="A19" s="1" t="s">
        <v>5</v>
      </c>
      <c r="B19">
        <f t="shared" si="0"/>
        <v>1073</v>
      </c>
      <c r="C19">
        <v>496</v>
      </c>
      <c r="D19">
        <v>119</v>
      </c>
      <c r="E19">
        <v>458</v>
      </c>
    </row>
    <row r="20" spans="1:11" ht="15" customHeight="1">
      <c r="A20" s="1" t="s">
        <v>6</v>
      </c>
      <c r="B20">
        <f t="shared" si="0"/>
        <v>1009</v>
      </c>
      <c r="C20">
        <v>488</v>
      </c>
      <c r="D20">
        <v>115</v>
      </c>
      <c r="E20">
        <v>406</v>
      </c>
    </row>
    <row r="21" spans="1:11" ht="15" customHeight="1">
      <c r="A21" s="1" t="s">
        <v>7</v>
      </c>
      <c r="B21">
        <f t="shared" si="0"/>
        <v>956</v>
      </c>
      <c r="C21">
        <v>454</v>
      </c>
      <c r="D21">
        <v>115</v>
      </c>
      <c r="E21">
        <v>387</v>
      </c>
    </row>
    <row r="22" spans="1:11" ht="15" customHeight="1">
      <c r="A22" s="1" t="s">
        <v>8</v>
      </c>
      <c r="B22">
        <f t="shared" si="0"/>
        <v>812</v>
      </c>
      <c r="C22">
        <v>378</v>
      </c>
      <c r="D22">
        <v>106</v>
      </c>
      <c r="E22">
        <v>328</v>
      </c>
    </row>
    <row r="23" spans="1:11" ht="15" customHeight="1">
      <c r="A23" s="1" t="s">
        <v>9</v>
      </c>
      <c r="B23">
        <f t="shared" si="0"/>
        <v>620</v>
      </c>
      <c r="C23">
        <v>287</v>
      </c>
      <c r="D23">
        <v>91</v>
      </c>
      <c r="E23">
        <v>242</v>
      </c>
    </row>
    <row r="24" spans="1:11" ht="15" customHeight="1">
      <c r="A24" s="1" t="s">
        <v>10</v>
      </c>
      <c r="B24">
        <f t="shared" si="0"/>
        <v>490</v>
      </c>
      <c r="C24">
        <v>228</v>
      </c>
      <c r="D24">
        <v>81</v>
      </c>
      <c r="E24">
        <v>181</v>
      </c>
    </row>
    <row r="25" spans="1:11" ht="15" customHeight="1">
      <c r="A25" s="12" t="s">
        <v>11</v>
      </c>
      <c r="B25" s="13">
        <f t="shared" si="0"/>
        <v>416</v>
      </c>
      <c r="C25" s="13">
        <v>197</v>
      </c>
      <c r="D25" s="13">
        <v>74</v>
      </c>
      <c r="E25" s="13">
        <v>145</v>
      </c>
      <c r="F25" s="13"/>
      <c r="G25" s="13"/>
      <c r="H25" s="13"/>
      <c r="I25" s="13"/>
      <c r="J25" s="13"/>
      <c r="K25" s="13"/>
    </row>
    <row r="26" spans="1:11" ht="15" customHeight="1">
      <c r="A26" s="4" t="s">
        <v>173</v>
      </c>
      <c r="B26" s="5">
        <f t="shared" si="0"/>
        <v>9117</v>
      </c>
      <c r="C26">
        <f>IF(SUM(C14:C25) =0,"",SUM(C14:C25))</f>
        <v>4266</v>
      </c>
      <c r="D26">
        <f>IF(SUM(D14:D25) =0,"",SUM(D14:D25))</f>
        <v>1199</v>
      </c>
      <c r="E26">
        <f t="shared" ref="E26:K26" si="1">IF(SUM(E14:E25) =0,"",SUM(E14:E25))</f>
        <v>3652</v>
      </c>
      <c r="F26" t="str">
        <f t="shared" si="1"/>
        <v/>
      </c>
      <c r="G26" t="str">
        <f t="shared" si="1"/>
        <v/>
      </c>
      <c r="H26" t="str">
        <f t="shared" si="1"/>
        <v/>
      </c>
      <c r="I26" t="str">
        <f t="shared" si="1"/>
        <v/>
      </c>
      <c r="J26" t="str">
        <f t="shared" si="1"/>
        <v/>
      </c>
      <c r="K26" t="str">
        <f t="shared" si="1"/>
        <v/>
      </c>
    </row>
    <row r="27" spans="1:11" ht="15" customHeight="1">
      <c r="A27" s="4" t="s">
        <v>19</v>
      </c>
      <c r="B27" s="1" t="s">
        <v>18</v>
      </c>
      <c r="C27" s="1" t="s">
        <v>16</v>
      </c>
      <c r="D27" s="1" t="s">
        <v>15</v>
      </c>
      <c r="E27" s="1" t="s">
        <v>17</v>
      </c>
    </row>
    <row r="28" spans="1:11" ht="15" customHeight="1">
      <c r="B28" s="68">
        <v>8971</v>
      </c>
      <c r="C28" s="89" t="s">
        <v>246</v>
      </c>
      <c r="F28" s="4"/>
      <c r="G28" s="1"/>
      <c r="H28" s="1"/>
    </row>
    <row r="29" spans="1:11" ht="15" customHeight="1">
      <c r="B29" s="77"/>
      <c r="C29" s="77" t="s">
        <v>86</v>
      </c>
    </row>
    <row r="30" spans="1:11" ht="15" customHeight="1"/>
    <row r="32" spans="1:11" ht="18.5">
      <c r="A32" s="137" t="s">
        <v>175</v>
      </c>
      <c r="B32" s="137"/>
      <c r="C32" s="137"/>
      <c r="D32" s="137"/>
      <c r="E32" s="137"/>
      <c r="F32" s="137"/>
      <c r="G32" s="137"/>
      <c r="H32" s="137"/>
      <c r="I32" s="137"/>
      <c r="J32" s="137"/>
      <c r="K32" s="137"/>
    </row>
    <row r="33" spans="1:11" ht="15.5">
      <c r="A33" s="39" t="s">
        <v>12</v>
      </c>
      <c r="B33" s="39" t="s">
        <v>171</v>
      </c>
      <c r="C33" s="39" t="s">
        <v>167</v>
      </c>
      <c r="D33" s="39" t="s">
        <v>168</v>
      </c>
      <c r="E33" s="39" t="s">
        <v>169</v>
      </c>
      <c r="F33" s="39" t="s">
        <v>146</v>
      </c>
      <c r="G33" s="39" t="s">
        <v>147</v>
      </c>
      <c r="H33" s="39" t="s">
        <v>148</v>
      </c>
      <c r="I33" s="39" t="s">
        <v>149</v>
      </c>
      <c r="J33" s="39" t="s">
        <v>150</v>
      </c>
      <c r="K33" s="39" t="s">
        <v>170</v>
      </c>
    </row>
    <row r="34" spans="1:11">
      <c r="A34" s="1" t="s">
        <v>0</v>
      </c>
      <c r="B34" s="15">
        <f>IF($B$11=0,"",B14*1000/($B$11*24*31))</f>
        <v>8.2885304659498213E-2</v>
      </c>
      <c r="C34" s="15">
        <f>IF($D$11=0,"",D14*1000/($D$11*24*31))</f>
        <v>0.12600806451612903</v>
      </c>
      <c r="D34" s="15">
        <f>IF($C$11=0,"",C14*1000/($C$11*24*31))</f>
        <v>8.7365591397849468E-2</v>
      </c>
      <c r="E34" s="15">
        <f>IF($E$11=0,"",E14*1000/($E$11*24*31))</f>
        <v>6.762432795698925E-2</v>
      </c>
      <c r="F34" s="15" t="str">
        <f>IF($F$11=0,"",F14*1000/($F$11*24*31))</f>
        <v/>
      </c>
      <c r="G34" s="15" t="str">
        <f>IF($G$11=0,"",G14*1000/($G$11*24*31))</f>
        <v/>
      </c>
      <c r="H34" s="15" t="str">
        <f>IF($H$11=0,"",H14*1000/($H$11*24*31))</f>
        <v/>
      </c>
      <c r="I34" s="15" t="str">
        <f>IF($I$11=0,"",I14*1000/($I$11*24*31))</f>
        <v/>
      </c>
      <c r="J34" s="15" t="str">
        <f>IF($J$11=0,"",J14*1000/($J$11*24*31))</f>
        <v/>
      </c>
      <c r="K34" s="15" t="str">
        <f>IF($K$11=0,"",K14*1000/($K$11*24*31))</f>
        <v/>
      </c>
    </row>
    <row r="35" spans="1:11">
      <c r="A35" s="1" t="s">
        <v>1</v>
      </c>
      <c r="B35" s="15">
        <f>IF($B$11=0,"",B15*1000/($B$11*24*28))</f>
        <v>0.11429398148148148</v>
      </c>
      <c r="C35" s="15">
        <f>IF($D$11=0,"",D15*1000/($D$11*24*28))</f>
        <v>0.15625</v>
      </c>
      <c r="D35" s="15">
        <f>IF($C$11=0,"",C15*1000/($C$11*24*28))</f>
        <v>0.11811755952380952</v>
      </c>
      <c r="E35" s="15">
        <f>IF($E$11=0,"",E15*1000/($E$11*24*28))</f>
        <v>9.9981398809523808E-2</v>
      </c>
      <c r="F35" s="15" t="str">
        <f>IF($F$11=0,"",F15*1000/($F$11*24*28))</f>
        <v/>
      </c>
      <c r="G35" s="15" t="str">
        <f>IF($G$11=0,"",G15*1000/($G$11*24*28))</f>
        <v/>
      </c>
      <c r="H35" s="15" t="str">
        <f>IF($H$11=0,"",H15*1000/($H$11*24*28))</f>
        <v/>
      </c>
      <c r="I35" s="15" t="str">
        <f>IF($I$11=0,"",I15*1000/($I$11*24*28))</f>
        <v/>
      </c>
      <c r="J35" s="15" t="str">
        <f>IF($J$11=0,"",J15*1000/($J$11*24*28))</f>
        <v/>
      </c>
      <c r="K35" s="15" t="str">
        <f>IF($K$11=0,"",K15*1000/($K$11*24*28))</f>
        <v/>
      </c>
    </row>
    <row r="36" spans="1:11">
      <c r="A36" s="1" t="s">
        <v>2</v>
      </c>
      <c r="B36" s="15">
        <f>IF($B$11=0,"",B16*1000/($B$11*24*31))</f>
        <v>0.14878285543608125</v>
      </c>
      <c r="C36" s="15">
        <f>IF($D$11=0,"",D16*1000/($D$11*24*31))</f>
        <v>0.18145161290322581</v>
      </c>
      <c r="D36" s="15">
        <f>IF($C$11=0,"",C16*1000/($C$11*24*31))</f>
        <v>0.15498991935483872</v>
      </c>
      <c r="E36" s="15">
        <f>IF($E$11=0,"",E16*1000/($E$11*24*31))</f>
        <v>0.13440860215053763</v>
      </c>
      <c r="F36" s="15" t="str">
        <f>IF($F$11=0,"",F16*1000/($F$11*24*31))</f>
        <v/>
      </c>
      <c r="G36" s="15" t="str">
        <f>IF($G$11=0,"",G16*1000/($G$11*24*31))</f>
        <v/>
      </c>
      <c r="H36" s="15" t="str">
        <f>IF($H$11=0,"",H16*1000/($H$11*24*31))</f>
        <v/>
      </c>
      <c r="I36" s="15" t="str">
        <f>IF($I$11=0,"",I16*1000/($I$11*24*31))</f>
        <v/>
      </c>
      <c r="J36" s="15" t="str">
        <f>IF($J$11=0,"",J16*1000/($J$11*24*31))</f>
        <v/>
      </c>
      <c r="K36" s="15" t="str">
        <f>IF($K$11=0,"",K16*1000/($K$11*24*31))</f>
        <v/>
      </c>
    </row>
    <row r="37" spans="1:11">
      <c r="A37" s="1" t="s">
        <v>3</v>
      </c>
      <c r="B37" s="15">
        <f>IF($B$11=0,"",B17*1000/($B$11*24*30))</f>
        <v>0.17766203703703703</v>
      </c>
      <c r="C37" s="15">
        <f>IF($D$11=0,"",D17*1000/($D$11*24*30))</f>
        <v>0.19791666666666666</v>
      </c>
      <c r="D37" s="15">
        <f>IF($C$11=0,"",C17*1000/($C$11*24*30))</f>
        <v>0.18315972222222221</v>
      </c>
      <c r="E37" s="15">
        <f>IF($E$11=0,"",E17*1000/($E$11*24*30))</f>
        <v>0.16710069444444445</v>
      </c>
      <c r="F37" s="15" t="str">
        <f>IF($F$11=0,"",F17*1000/($F$11*24*30))</f>
        <v/>
      </c>
      <c r="G37" s="15" t="str">
        <f>IF($G$11=0,"",G17*1000/($G$11*24*30))</f>
        <v/>
      </c>
      <c r="H37" s="15" t="str">
        <f>IF($H$11=0,"",H17*1000/($H$11*24*30))</f>
        <v/>
      </c>
      <c r="I37" s="15" t="str">
        <f>IF($I$11=0,"",I17*1000/($I$11*24*30))</f>
        <v/>
      </c>
      <c r="J37" s="15" t="str">
        <f>IF($J$11=0,"",J17*1000/($J$11*24*30))</f>
        <v/>
      </c>
      <c r="K37" s="15" t="str">
        <f>IF($K$11=0,"",K17*1000/($K$11*24*30))</f>
        <v/>
      </c>
    </row>
    <row r="38" spans="1:11">
      <c r="A38" s="1" t="s">
        <v>4</v>
      </c>
      <c r="B38" s="15">
        <f>IF($B$11=0,"",B18*1000/($B$11*24*31))</f>
        <v>0.19153225806451613</v>
      </c>
      <c r="C38" s="15">
        <f>IF($D$11=0,"",D18*1000/($D$11*24*31))</f>
        <v>0.19657258064516128</v>
      </c>
      <c r="D38" s="15">
        <f>IF($C$11=0,"",C18*1000/($C$11*24*31))</f>
        <v>0.20371303763440859</v>
      </c>
      <c r="E38" s="15">
        <f>IF($E$11=0,"",E18*1000/($E$11*24*31))</f>
        <v>0.17809139784946237</v>
      </c>
      <c r="F38" s="15" t="str">
        <f>IF($F$11=0,"",F18*1000/($F$11*24*31))</f>
        <v/>
      </c>
      <c r="G38" s="15" t="str">
        <f>IF($G$11=0,"",G18*1000/($G$11*24*31))</f>
        <v/>
      </c>
      <c r="H38" s="15" t="str">
        <f>IF($H$11=0,"",H18*1000/($H$11*24*31))</f>
        <v/>
      </c>
      <c r="I38" s="15" t="str">
        <f>IF($I$11=0,"",I18*1000/($I$11*24*31))</f>
        <v/>
      </c>
      <c r="J38" s="15" t="str">
        <f>IF($J$11=0,"",J18*1000/($J$11*24*31))</f>
        <v/>
      </c>
      <c r="K38" s="15" t="str">
        <f>IF($K$11=0,"",K18*1000/($K$11*24*31))</f>
        <v/>
      </c>
    </row>
    <row r="39" spans="1:11">
      <c r="A39" s="1" t="s">
        <v>5</v>
      </c>
      <c r="B39" s="15">
        <f>IF($B$11=0,"",B19*1000/($B$11*24*30))</f>
        <v>0.20698302469135801</v>
      </c>
      <c r="C39" s="15">
        <f>IF($D$11=0,"",D19*1000/($D$11*24*30))</f>
        <v>0.20659722222222221</v>
      </c>
      <c r="D39" s="15">
        <f>IF($C$11=0,"",C19*1000/($C$11*24*30))</f>
        <v>0.21527777777777779</v>
      </c>
      <c r="E39" s="15">
        <f>IF($E$11=0,"",E19*1000/($E$11*24*30))</f>
        <v>0.19878472222222221</v>
      </c>
      <c r="F39" s="15" t="str">
        <f>IF($F$11=0,"",F19*1000/($F$11*24*30))</f>
        <v/>
      </c>
      <c r="G39" s="15" t="str">
        <f>IF($G$11=0,"",G19*1000/($G$11*24*30))</f>
        <v/>
      </c>
      <c r="H39" s="15" t="str">
        <f>IF($H$11=0,"",H19*1000/($H$11*24*30))</f>
        <v/>
      </c>
      <c r="I39" s="15" t="str">
        <f>IF($I$11=0,"",I19*1000/($I$11*24*30))</f>
        <v/>
      </c>
      <c r="J39" s="15" t="str">
        <f>IF($J$11=0,"",J19*1000/($J$11*24*30))</f>
        <v/>
      </c>
      <c r="K39" s="15" t="str">
        <f>IF($K$11=0,"",K19*1000/($K$11*24*30))</f>
        <v/>
      </c>
    </row>
    <row r="40" spans="1:11">
      <c r="A40" s="1" t="s">
        <v>6</v>
      </c>
      <c r="B40" s="15">
        <f>IF($B$11=0,"",B20*1000/($B$11*24*31))</f>
        <v>0.18835872162485065</v>
      </c>
      <c r="C40" s="15">
        <f>IF($D$11=0,"",D20*1000/($D$11*24*31))</f>
        <v>0.19321236559139784</v>
      </c>
      <c r="D40" s="15">
        <f>IF($C$11=0,"",C20*1000/($C$11*24*31))</f>
        <v>0.2049731182795699</v>
      </c>
      <c r="E40" s="15">
        <f>IF($E$11=0,"",E20*1000/($E$11*24*31))</f>
        <v>0.17053091397849462</v>
      </c>
      <c r="F40" s="15" t="str">
        <f>IF($F$11=0,"",F20*1000/($F$11*24*31))</f>
        <v/>
      </c>
      <c r="G40" s="15" t="str">
        <f>IF($G$11=0,"",G20*1000/($G$11*24*31))</f>
        <v/>
      </c>
      <c r="H40" s="15" t="str">
        <f>IF($H$11=0,"",H20*1000/($H$11*24*31))</f>
        <v/>
      </c>
      <c r="I40" s="15" t="str">
        <f>IF($I$11=0,"",I20*1000/($I$11*24*31))</f>
        <v/>
      </c>
      <c r="J40" s="15" t="str">
        <f>IF($J$11=0,"",J20*1000/($J$11*24*31))</f>
        <v/>
      </c>
      <c r="K40" s="15" t="str">
        <f>IF($K$11=0,"",K20*1000/($K$11*24*31))</f>
        <v/>
      </c>
    </row>
    <row r="41" spans="1:11">
      <c r="A41" s="1" t="s">
        <v>7</v>
      </c>
      <c r="B41" s="15">
        <f>IF($B$11=0,"",B21*1000/($B$11*24*31))</f>
        <v>0.1784647550776583</v>
      </c>
      <c r="C41" s="15">
        <f>IF($D$11=0,"",D21*1000/($D$11*24*31))</f>
        <v>0.19321236559139784</v>
      </c>
      <c r="D41" s="15">
        <f>IF($C$11=0,"",C21*1000/($C$11*24*31))</f>
        <v>0.19069220430107528</v>
      </c>
      <c r="E41" s="15">
        <f>IF($E$11=0,"",E21*1000/($E$11*24*31))</f>
        <v>0.16255040322580644</v>
      </c>
      <c r="F41" s="15" t="str">
        <f>IF($F$11=0,"",F21*1000/($F$11*24*31))</f>
        <v/>
      </c>
      <c r="G41" s="15" t="str">
        <f>IF($G$11=0,"",G21*1000/($G$11*24*31))</f>
        <v/>
      </c>
      <c r="H41" s="15" t="str">
        <f>IF($H$11=0,"",H21*1000/($H$11*24*31))</f>
        <v/>
      </c>
      <c r="I41" s="15" t="str">
        <f>IF($I$11=0,"",I21*1000/($I$11*24*31))</f>
        <v/>
      </c>
      <c r="J41" s="15" t="str">
        <f>IF($J$11=0,"",J21*1000/($J$11*24*31))</f>
        <v/>
      </c>
      <c r="K41" s="15" t="str">
        <f>IF($K$11=0,"",K21*1000/($K$11*24*31))</f>
        <v/>
      </c>
    </row>
    <row r="42" spans="1:11">
      <c r="A42" s="1" t="s">
        <v>8</v>
      </c>
      <c r="B42" s="15">
        <f>IF($B$11=0,"",B22*1000/($B$11*24*30))</f>
        <v>0.1566358024691358</v>
      </c>
      <c r="C42" s="15">
        <f>IF($D$11=0,"",D22*1000/($D$11*24*30))</f>
        <v>0.18402777777777779</v>
      </c>
      <c r="D42" s="15">
        <f>IF($C$11=0,"",C22*1000/($C$11*24*30))</f>
        <v>0.1640625</v>
      </c>
      <c r="E42" s="15">
        <f>IF($E$11=0,"",E22*1000/($E$11*24*30))</f>
        <v>0.1423611111111111</v>
      </c>
      <c r="F42" s="15" t="str">
        <f>IF($F$11=0,"",F22*1000/($F$11*24*30))</f>
        <v/>
      </c>
      <c r="G42" s="15" t="str">
        <f>IF($G$11=0,"",G22*1000/($G$11*24*30))</f>
        <v/>
      </c>
      <c r="H42" s="15" t="str">
        <f>IF($H$11=0,"",H22*1000/($H$11*24*30))</f>
        <v/>
      </c>
      <c r="I42" s="15" t="str">
        <f>IF($I$11=0,"",I22*1000/($I$11*24*30))</f>
        <v/>
      </c>
      <c r="J42" s="15" t="str">
        <f>IF($J$11=0,"",J22*1000/($J$11*24*30))</f>
        <v/>
      </c>
      <c r="K42" s="15" t="str">
        <f>IF($K$11=0,"",K22*1000/($K$11*24*30))</f>
        <v/>
      </c>
    </row>
    <row r="43" spans="1:11">
      <c r="A43" s="1" t="s">
        <v>9</v>
      </c>
      <c r="B43" s="15">
        <f>IF($B$11=0,"",B23*1000/($B$11*24*31))</f>
        <v>0.11574074074074074</v>
      </c>
      <c r="C43" s="15">
        <f>IF($D$11=0,"",D23*1000/($D$11*24*31))</f>
        <v>0.15288978494623656</v>
      </c>
      <c r="D43" s="15">
        <f>IF($C$11=0,"",C23*1000/($C$11*24*31))</f>
        <v>0.12054771505376344</v>
      </c>
      <c r="E43" s="15">
        <f>IF($E$11=0,"",E23*1000/($E$11*24*31))</f>
        <v>0.10164650537634409</v>
      </c>
      <c r="F43" s="15" t="str">
        <f>IF($F$11=0,"",F23*1000/($F$11*24*31))</f>
        <v/>
      </c>
      <c r="G43" s="15" t="str">
        <f>IF($G$11=0,"",G23*1000/($G$11*24*31))</f>
        <v/>
      </c>
      <c r="H43" s="15" t="str">
        <f>IF($H$11=0,"",H23*1000/($H$11*24*31))</f>
        <v/>
      </c>
      <c r="I43" s="15" t="str">
        <f>IF($I$11=0,"",I23*1000/($I$11*24*31))</f>
        <v/>
      </c>
      <c r="J43" s="15" t="str">
        <f>IF($J$11=0,"",J23*1000/($J$11*24*31))</f>
        <v/>
      </c>
      <c r="K43" s="15" t="str">
        <f>IF($K$11=0,"",K23*1000/($K$11*24*31))</f>
        <v/>
      </c>
    </row>
    <row r="44" spans="1:11">
      <c r="A44" s="1" t="s">
        <v>10</v>
      </c>
      <c r="B44" s="15">
        <f>IF($B$11=0,"",B24*1000/($B$11*24*30))</f>
        <v>9.4521604938271608E-2</v>
      </c>
      <c r="C44" s="15">
        <f>IF($D$11=0,"",D24*1000/($D$11*24*30))</f>
        <v>0.140625</v>
      </c>
      <c r="D44" s="15">
        <f>IF($C$11=0,"",C24*1000/($C$11*24*30))</f>
        <v>9.8958333333333329E-2</v>
      </c>
      <c r="E44" s="15">
        <f>IF($E$11=0,"",E24*1000/($E$11*24*30))</f>
        <v>7.8559027777777776E-2</v>
      </c>
      <c r="F44" s="15" t="str">
        <f>IF($F$11=0,"",F24*1000/($F$11*24*30))</f>
        <v/>
      </c>
      <c r="G44" s="15" t="str">
        <f>IF($G$11=0,"",G24*1000/($G$11*24*30))</f>
        <v/>
      </c>
      <c r="H44" s="15" t="str">
        <f>IF($H$11=0,"",H24*1000/($H$11*24*30))</f>
        <v/>
      </c>
      <c r="I44" s="15" t="str">
        <f>IF($I$11=0,"",I24*1000/($I$11*24*30))</f>
        <v/>
      </c>
      <c r="J44" s="15" t="str">
        <f>IF($J$11=0,"",J24*1000/($J$11*24*30))</f>
        <v/>
      </c>
      <c r="K44" s="15" t="str">
        <f>IF($K$11=0,"",K24*1000/($K$11*24*30))</f>
        <v/>
      </c>
    </row>
    <row r="45" spans="1:11">
      <c r="A45" s="12" t="s">
        <v>11</v>
      </c>
      <c r="B45" s="90">
        <f>IF($B$11=0,"",B25*1000/($B$11*24*31))</f>
        <v>7.765830346475508E-2</v>
      </c>
      <c r="C45" s="90">
        <f>IF($D$11=0,"",D25*1000/($D$11*24*31))</f>
        <v>0.12432795698924731</v>
      </c>
      <c r="D45" s="90">
        <f>IF($C$11=0,"",C25*1000/($C$11*24*31))</f>
        <v>8.2745295698924734E-2</v>
      </c>
      <c r="E45" s="90">
        <f>IF($E$11=0,"",E25*1000/($E$11*24*31))</f>
        <v>6.0903897849462367E-2</v>
      </c>
      <c r="F45" s="90" t="str">
        <f>IF($F$11=0,"",F25*1000/($F$11*24*31))</f>
        <v/>
      </c>
      <c r="G45" s="90" t="str">
        <f>IF($G$11=0,"",G25*1000/($G$11*24*31))</f>
        <v/>
      </c>
      <c r="H45" s="90" t="str">
        <f>IF($H$11=0,"",H25*1000/($H$11*24*31))</f>
        <v/>
      </c>
      <c r="I45" s="90" t="str">
        <f>IF($I$11=0,"",I25*1000/($I$11*24*31))</f>
        <v/>
      </c>
      <c r="J45" s="90" t="str">
        <f>IF($J$11=0,"",J25*1000/($J$11*24*31))</f>
        <v/>
      </c>
      <c r="K45" s="90" t="str">
        <f>IF($K$11=0,"",K25*1000/($K$11*24*31))</f>
        <v/>
      </c>
    </row>
    <row r="46" spans="1:11">
      <c r="A46" s="88" t="s">
        <v>43</v>
      </c>
      <c r="B46" s="15">
        <f>IF($B$11=0,"",B26*1000/($B$11*24*365))</f>
        <v>0.14454908675799086</v>
      </c>
      <c r="C46" s="15">
        <f>IF($D$11=0,"",D26*1000/($D$11*24*365))</f>
        <v>0.17109018264840184</v>
      </c>
      <c r="D46" s="15">
        <f>IF($C$11=0,"",C26*1000/($C$11*24*365))</f>
        <v>0.1521832191780822</v>
      </c>
      <c r="E46" s="15">
        <f>IF($E$11=0,"",E26*1000/($E$11*24*365))</f>
        <v>0.1302796803652968</v>
      </c>
      <c r="F46" s="15" t="str">
        <f>IF($F$11=0,"",F26*1000/($F$11*24*365))</f>
        <v/>
      </c>
      <c r="G46" s="15" t="str">
        <f>IF($G$11=0,"",G26*1000/($G$11*24*365))</f>
        <v/>
      </c>
      <c r="H46" s="15" t="str">
        <f>IF($H$11=0,"",H26*1000/($H$11*24*365))</f>
        <v/>
      </c>
      <c r="I46" s="15" t="str">
        <f>IF($I$11=0,"",I26*1000/($I$11*24*365))</f>
        <v/>
      </c>
      <c r="J46" s="15" t="str">
        <f>IF($J$11=0,"",J26*1000/($J$11*24*365))</f>
        <v/>
      </c>
      <c r="K46" s="15" t="str">
        <f>IF($K$11=0,"",K26*1000/($K$11*24*365))</f>
        <v/>
      </c>
    </row>
  </sheetData>
  <mergeCells count="2">
    <mergeCell ref="A10:K10"/>
    <mergeCell ref="A32:K32"/>
  </mergeCells>
  <pageMargins left="0.7" right="0.7" top="0.75" bottom="0.75" header="0.3" footer="0.3"/>
  <pageSetup orientation="portrait" horizontalDpi="4294967293" verticalDpi="4294967293" r:id="rId1"/>
  <ignoredErrors>
    <ignoredError sqref="B35 B37:B44 C35:H44 I35:J44 K35:K44" formula="1"/>
  </ignoredErrors>
  <drawing r:id="rId2"/>
</worksheet>
</file>

<file path=xl/worksheets/sheet7.xml><?xml version="1.0" encoding="utf-8"?>
<worksheet xmlns="http://schemas.openxmlformats.org/spreadsheetml/2006/main" xmlns:r="http://schemas.openxmlformats.org/officeDocument/2006/relationships">
  <dimension ref="A1:X62"/>
  <sheetViews>
    <sheetView workbookViewId="0">
      <selection activeCell="A2" sqref="A2"/>
    </sheetView>
  </sheetViews>
  <sheetFormatPr defaultRowHeight="14.5"/>
  <cols>
    <col min="1" max="1" width="10.6328125" customWidth="1"/>
    <col min="2" max="30" width="8.6328125" customWidth="1"/>
    <col min="31" max="32" width="7.6328125" customWidth="1"/>
    <col min="33" max="35" width="6.6328125" customWidth="1"/>
    <col min="36" max="36" width="6.81640625" customWidth="1"/>
  </cols>
  <sheetData>
    <row r="1" spans="1:24" ht="25" customHeight="1">
      <c r="A1" s="59" t="s">
        <v>128</v>
      </c>
    </row>
    <row r="2" spans="1:24" ht="15" customHeight="1">
      <c r="A2" s="7"/>
    </row>
    <row r="3" spans="1:24" ht="15" customHeight="1">
      <c r="A3" s="5" t="s">
        <v>275</v>
      </c>
    </row>
    <row r="4" spans="1:24" ht="15" customHeight="1">
      <c r="A4" s="7"/>
    </row>
    <row r="5" spans="1:24" ht="15" customHeight="1">
      <c r="A5" s="57"/>
    </row>
    <row r="6" spans="1:24" ht="15" customHeight="1">
      <c r="A6" s="10" t="s">
        <v>22</v>
      </c>
      <c r="B6" s="10" t="s">
        <v>20</v>
      </c>
      <c r="C6" s="10" t="s">
        <v>14</v>
      </c>
      <c r="D6" s="10" t="s">
        <v>226</v>
      </c>
      <c r="E6" s="35" t="s">
        <v>262</v>
      </c>
      <c r="X6" s="39"/>
    </row>
    <row r="7" spans="1:24" ht="15" customHeight="1">
      <c r="A7" s="4" t="s">
        <v>23</v>
      </c>
      <c r="B7">
        <f>'2025 Data'!I20+'2024 Data'!I20+'2023 Data'!I20</f>
        <v>9464</v>
      </c>
      <c r="C7">
        <f>'2024 Data'!H20+'2023 Data'!H20</f>
        <v>11031</v>
      </c>
      <c r="D7">
        <f>C7-B7</f>
        <v>1567</v>
      </c>
    </row>
    <row r="8" spans="1:24" ht="15" customHeight="1">
      <c r="A8" s="4" t="s">
        <v>60</v>
      </c>
      <c r="B8" s="2">
        <f>'2025 Data'!M20+'2024 Data'!M20+'2023 Data'!M20</f>
        <v>1317.66</v>
      </c>
      <c r="C8" s="2">
        <f>'2025 Data'!L20+'2024 Data'!L20+'2023 Data'!L20</f>
        <v>1747.87</v>
      </c>
      <c r="D8" s="2">
        <f>C8-B8</f>
        <v>430.20999999999981</v>
      </c>
      <c r="E8" s="5" t="s">
        <v>113</v>
      </c>
    </row>
    <row r="9" spans="1:24" ht="15" customHeight="1">
      <c r="A9" s="4"/>
      <c r="B9" s="2"/>
      <c r="C9" s="2"/>
      <c r="D9" s="2"/>
      <c r="E9" s="5"/>
      <c r="F9" s="98"/>
      <c r="G9" s="2"/>
      <c r="M9" s="98"/>
      <c r="N9" s="2"/>
    </row>
    <row r="10" spans="1:24" ht="15" customHeight="1"/>
    <row r="11" spans="1:24" ht="20" customHeight="1">
      <c r="A11" s="91" t="s">
        <v>129</v>
      </c>
    </row>
    <row r="12" spans="1:24" ht="15" customHeight="1">
      <c r="A12" s="131"/>
    </row>
    <row r="13" spans="1:24" ht="15" customHeight="1">
      <c r="A13" s="131"/>
      <c r="B13" s="4" t="s">
        <v>208</v>
      </c>
      <c r="C13" s="4" t="s">
        <v>109</v>
      </c>
      <c r="D13" s="4" t="s">
        <v>108</v>
      </c>
      <c r="E13" s="4" t="s">
        <v>20</v>
      </c>
      <c r="F13" s="4" t="s">
        <v>14</v>
      </c>
    </row>
    <row r="14" spans="1:24" ht="15" customHeight="1">
      <c r="A14" s="3" t="s">
        <v>43</v>
      </c>
      <c r="B14" s="3" t="s">
        <v>110</v>
      </c>
      <c r="C14" s="3" t="s">
        <v>209</v>
      </c>
      <c r="D14" s="3" t="s">
        <v>209</v>
      </c>
      <c r="E14" s="3" t="s">
        <v>23</v>
      </c>
      <c r="F14" s="3" t="s">
        <v>23</v>
      </c>
      <c r="G14" s="3" t="s">
        <v>226</v>
      </c>
      <c r="H14" s="3" t="s">
        <v>43</v>
      </c>
      <c r="I14" s="48" t="s">
        <v>185</v>
      </c>
    </row>
    <row r="15" spans="1:24" ht="15" customHeight="1">
      <c r="A15">
        <v>2008</v>
      </c>
      <c r="B15" s="21">
        <v>773</v>
      </c>
      <c r="E15" s="19">
        <v>9875</v>
      </c>
      <c r="F15" s="21"/>
      <c r="G15" s="19"/>
      <c r="H15" s="19">
        <f>A15</f>
        <v>2008</v>
      </c>
      <c r="S15" s="92"/>
    </row>
    <row r="16" spans="1:24" ht="15" customHeight="1">
      <c r="A16">
        <v>2009</v>
      </c>
      <c r="B16" s="21">
        <v>805</v>
      </c>
      <c r="E16" s="19">
        <v>8889</v>
      </c>
      <c r="F16" s="21"/>
      <c r="G16" s="19"/>
      <c r="H16" s="19">
        <f t="shared" ref="H16:H32" si="0">A16</f>
        <v>2009</v>
      </c>
    </row>
    <row r="17" spans="1:9" ht="15" customHeight="1">
      <c r="A17">
        <v>2010</v>
      </c>
      <c r="B17" s="21">
        <v>851</v>
      </c>
      <c r="E17" s="19">
        <v>8457</v>
      </c>
      <c r="F17" s="21"/>
      <c r="G17" s="19"/>
      <c r="H17" s="19">
        <f t="shared" si="0"/>
        <v>2010</v>
      </c>
    </row>
    <row r="18" spans="1:9" ht="15" customHeight="1">
      <c r="A18">
        <v>2011</v>
      </c>
      <c r="B18" s="21">
        <v>910</v>
      </c>
      <c r="E18" s="19">
        <v>9112</v>
      </c>
      <c r="F18" s="21"/>
      <c r="G18" s="19"/>
      <c r="H18" s="19">
        <f t="shared" si="0"/>
        <v>2011</v>
      </c>
    </row>
    <row r="19" spans="1:9" ht="15" customHeight="1">
      <c r="A19">
        <v>2012</v>
      </c>
      <c r="B19" s="21">
        <v>776</v>
      </c>
      <c r="E19" s="19">
        <v>8269</v>
      </c>
      <c r="F19" s="21"/>
      <c r="G19" s="19"/>
      <c r="H19" s="19">
        <f t="shared" si="0"/>
        <v>2012</v>
      </c>
      <c r="I19" t="s">
        <v>130</v>
      </c>
    </row>
    <row r="20" spans="1:9" ht="15" customHeight="1">
      <c r="A20">
        <v>2013</v>
      </c>
      <c r="B20" s="21">
        <v>1053</v>
      </c>
      <c r="E20" s="19">
        <v>9113</v>
      </c>
      <c r="F20" s="21"/>
      <c r="G20" s="19"/>
      <c r="H20" s="19">
        <f t="shared" si="0"/>
        <v>2013</v>
      </c>
      <c r="I20" t="s">
        <v>131</v>
      </c>
    </row>
    <row r="21" spans="1:9" ht="15" customHeight="1">
      <c r="A21">
        <v>2014</v>
      </c>
      <c r="B21" s="21">
        <v>1122</v>
      </c>
      <c r="E21" s="19">
        <v>8179</v>
      </c>
      <c r="F21" s="21"/>
      <c r="G21" s="19"/>
      <c r="H21" s="19">
        <f t="shared" si="0"/>
        <v>2014</v>
      </c>
    </row>
    <row r="22" spans="1:9" ht="15" customHeight="1">
      <c r="A22">
        <v>2015</v>
      </c>
      <c r="B22" s="21">
        <v>994</v>
      </c>
      <c r="E22" s="19">
        <v>7266</v>
      </c>
      <c r="F22" s="21"/>
      <c r="G22" s="19"/>
      <c r="H22" s="19">
        <f t="shared" si="0"/>
        <v>2015</v>
      </c>
    </row>
    <row r="23" spans="1:9" ht="15" customHeight="1">
      <c r="A23">
        <v>2016</v>
      </c>
      <c r="B23" s="21">
        <v>878</v>
      </c>
      <c r="E23" s="19">
        <v>7518</v>
      </c>
      <c r="F23" s="21"/>
      <c r="G23" s="19"/>
      <c r="H23" s="19">
        <f t="shared" si="0"/>
        <v>2016</v>
      </c>
    </row>
    <row r="24" spans="1:9" ht="15" customHeight="1">
      <c r="A24">
        <v>2017</v>
      </c>
      <c r="B24" s="21">
        <v>861</v>
      </c>
      <c r="E24" s="19">
        <v>7511</v>
      </c>
      <c r="F24" s="21"/>
      <c r="G24" s="19"/>
      <c r="H24" s="19">
        <f t="shared" si="0"/>
        <v>2017</v>
      </c>
    </row>
    <row r="25" spans="1:9" ht="15" customHeight="1">
      <c r="A25">
        <v>2018</v>
      </c>
      <c r="B25" s="21">
        <v>1003</v>
      </c>
      <c r="E25" s="19">
        <v>8843</v>
      </c>
      <c r="F25" s="21"/>
      <c r="G25" s="19"/>
      <c r="H25" s="19">
        <f t="shared" si="0"/>
        <v>2018</v>
      </c>
    </row>
    <row r="26" spans="1:9" ht="15" customHeight="1">
      <c r="A26">
        <v>2019</v>
      </c>
      <c r="B26" s="21">
        <v>1065</v>
      </c>
      <c r="E26" s="19">
        <v>7466</v>
      </c>
      <c r="F26" s="21"/>
      <c r="G26" s="19"/>
      <c r="H26" s="19">
        <f t="shared" si="0"/>
        <v>2019</v>
      </c>
      <c r="I26" t="s">
        <v>142</v>
      </c>
    </row>
    <row r="27" spans="1:9" ht="15" customHeight="1">
      <c r="A27">
        <v>2020</v>
      </c>
      <c r="B27" s="21">
        <v>1041</v>
      </c>
      <c r="E27" s="19">
        <v>7568</v>
      </c>
      <c r="F27" s="21"/>
      <c r="G27" s="19"/>
      <c r="H27" s="19">
        <f t="shared" si="0"/>
        <v>2020</v>
      </c>
      <c r="I27" t="s">
        <v>132</v>
      </c>
    </row>
    <row r="28" spans="1:9" ht="15" customHeight="1">
      <c r="A28">
        <v>2021</v>
      </c>
      <c r="B28" s="21">
        <f>'2020-2023 Data'!B17</f>
        <v>939</v>
      </c>
      <c r="C28">
        <f>'2020-2023 Data'!C17</f>
        <v>5660</v>
      </c>
      <c r="D28">
        <f>'2020-2023 Data'!D17</f>
        <v>1189</v>
      </c>
      <c r="E28" s="19">
        <f>'2020-2023 Data'!E17</f>
        <v>7612</v>
      </c>
      <c r="F28" s="21"/>
      <c r="G28" s="19"/>
      <c r="H28" s="19">
        <f t="shared" si="0"/>
        <v>2021</v>
      </c>
      <c r="I28" t="s">
        <v>133</v>
      </c>
    </row>
    <row r="29" spans="1:9" ht="15" customHeight="1">
      <c r="A29">
        <v>2022</v>
      </c>
      <c r="B29" s="21">
        <f>'2020-2023 Data'!H17</f>
        <v>904</v>
      </c>
      <c r="C29">
        <f>'2020-2023 Data'!I17</f>
        <v>5825</v>
      </c>
      <c r="D29">
        <f>'2020-2023 Data'!J17</f>
        <v>1012</v>
      </c>
      <c r="E29" s="19">
        <f>'2020-2023 Data'!K17</f>
        <v>6700</v>
      </c>
      <c r="F29" s="21"/>
      <c r="G29" s="19"/>
      <c r="H29" s="19">
        <f t="shared" si="0"/>
        <v>2022</v>
      </c>
      <c r="I29" t="s">
        <v>186</v>
      </c>
    </row>
    <row r="30" spans="1:9" ht="15" customHeight="1">
      <c r="A30">
        <v>2023</v>
      </c>
      <c r="B30" s="21">
        <f>'2020-2023 Data'!N17</f>
        <v>865</v>
      </c>
      <c r="C30">
        <f>'2020-2023 Data'!O17</f>
        <v>5150</v>
      </c>
      <c r="D30">
        <f>'2020-2023 Data'!P17</f>
        <v>741</v>
      </c>
      <c r="E30" s="19">
        <f>'2020-2023 Data'!Q17</f>
        <v>5590</v>
      </c>
      <c r="F30" s="21">
        <f>'2023 Data'!H20</f>
        <v>2232</v>
      </c>
      <c r="G30" s="19">
        <f>'2023 Data'!K20</f>
        <v>404</v>
      </c>
      <c r="H30" s="19">
        <f t="shared" si="0"/>
        <v>2023</v>
      </c>
      <c r="I30" t="s">
        <v>263</v>
      </c>
    </row>
    <row r="31" spans="1:9" ht="15" customHeight="1">
      <c r="A31">
        <v>2024</v>
      </c>
      <c r="B31" s="21">
        <f>'2024 Data'!B20</f>
        <v>738</v>
      </c>
      <c r="C31">
        <f>'2024 Data'!C20</f>
        <v>5783</v>
      </c>
      <c r="D31">
        <f>'2024 Data'!D20</f>
        <v>927</v>
      </c>
      <c r="E31" s="21">
        <f>'2024 Data'!I20</f>
        <v>6295</v>
      </c>
      <c r="F31" s="21">
        <f>'2024 Data'!H20</f>
        <v>8799</v>
      </c>
      <c r="G31" s="19">
        <f>'2024 Data'!J20</f>
        <v>2504</v>
      </c>
      <c r="H31" s="19">
        <f t="shared" si="0"/>
        <v>2024</v>
      </c>
      <c r="I31" t="s">
        <v>239</v>
      </c>
    </row>
    <row r="32" spans="1:9" ht="15" customHeight="1">
      <c r="A32">
        <v>2025</v>
      </c>
      <c r="B32" s="21"/>
      <c r="E32" s="21"/>
      <c r="F32" s="21"/>
      <c r="G32" s="19"/>
      <c r="H32" s="19">
        <f t="shared" si="0"/>
        <v>2025</v>
      </c>
    </row>
    <row r="33" spans="1:9" ht="15" customHeight="1">
      <c r="A33" s="4" t="s">
        <v>43</v>
      </c>
      <c r="B33" s="4" t="s">
        <v>208</v>
      </c>
      <c r="C33" s="4" t="s">
        <v>109</v>
      </c>
      <c r="D33" s="4" t="s">
        <v>108</v>
      </c>
      <c r="E33" s="4" t="s">
        <v>20</v>
      </c>
      <c r="F33" s="4" t="s">
        <v>14</v>
      </c>
      <c r="G33" s="33" t="s">
        <v>226</v>
      </c>
      <c r="H33" s="33" t="s">
        <v>43</v>
      </c>
      <c r="I33" s="5" t="str">
        <f>I14</f>
        <v>NOTES/CHANGES</v>
      </c>
    </row>
    <row r="34" spans="1:9" ht="15" customHeight="1">
      <c r="A34" s="4"/>
      <c r="B34" s="4" t="s">
        <v>110</v>
      </c>
      <c r="C34" s="4" t="str">
        <f>C14</f>
        <v>Days</v>
      </c>
      <c r="D34" s="4" t="str">
        <f>D14</f>
        <v>Days</v>
      </c>
      <c r="E34" s="4" t="str">
        <f>E14</f>
        <v>kWh</v>
      </c>
      <c r="F34" s="4" t="str">
        <f>F14</f>
        <v>kWh</v>
      </c>
      <c r="G34" s="4"/>
      <c r="H34" s="4"/>
    </row>
    <row r="35" spans="1:9" ht="15" customHeight="1">
      <c r="B35" s="21"/>
      <c r="E35" s="21"/>
      <c r="F35" s="21"/>
      <c r="G35" s="19"/>
      <c r="H35" s="19"/>
    </row>
    <row r="36" spans="1:9" ht="15" customHeight="1"/>
    <row r="37" spans="1:9" ht="15" customHeight="1">
      <c r="A37" s="58" t="s">
        <v>261</v>
      </c>
    </row>
    <row r="38" spans="1:9" ht="15" customHeight="1">
      <c r="A38" s="9" t="s">
        <v>232</v>
      </c>
    </row>
    <row r="39" spans="1:9" ht="15" customHeight="1">
      <c r="A39" t="s">
        <v>121</v>
      </c>
    </row>
    <row r="40" spans="1:9" ht="15" customHeight="1"/>
    <row r="41" spans="1:9" ht="15" customHeight="1">
      <c r="A41" t="s">
        <v>233</v>
      </c>
    </row>
    <row r="42" spans="1:9" ht="15" customHeight="1">
      <c r="A42" s="9" t="s">
        <v>221</v>
      </c>
    </row>
    <row r="43" spans="1:9" ht="15" customHeight="1">
      <c r="A43" s="9" t="s">
        <v>24</v>
      </c>
    </row>
    <row r="44" spans="1:9" ht="15" customHeight="1">
      <c r="A44" s="9" t="s">
        <v>222</v>
      </c>
    </row>
    <row r="45" spans="1:9" ht="15" customHeight="1">
      <c r="A45" s="9" t="s">
        <v>223</v>
      </c>
    </row>
    <row r="46" spans="1:9" ht="15" customHeight="1">
      <c r="A46" t="s">
        <v>217</v>
      </c>
    </row>
    <row r="47" spans="1:9" ht="15" customHeight="1">
      <c r="A47" t="s">
        <v>219</v>
      </c>
    </row>
    <row r="48" spans="1:9" ht="15" customHeight="1">
      <c r="A48" s="9"/>
    </row>
    <row r="49" spans="1:1" ht="15" customHeight="1">
      <c r="A49" t="s">
        <v>256</v>
      </c>
    </row>
    <row r="50" spans="1:1" ht="15" customHeight="1">
      <c r="A50" t="s">
        <v>257</v>
      </c>
    </row>
    <row r="51" spans="1:1" ht="15" customHeight="1">
      <c r="A51" s="9" t="s">
        <v>120</v>
      </c>
    </row>
    <row r="52" spans="1:1" ht="15" customHeight="1">
      <c r="A52" s="6" t="s">
        <v>252</v>
      </c>
    </row>
    <row r="53" spans="1:1" ht="15" customHeight="1">
      <c r="A53" s="6" t="s">
        <v>253</v>
      </c>
    </row>
    <row r="54" spans="1:1" ht="15" customHeight="1">
      <c r="A54" s="6" t="s">
        <v>254</v>
      </c>
    </row>
    <row r="55" spans="1:1" ht="15" customHeight="1">
      <c r="A55" s="5" t="s">
        <v>255</v>
      </c>
    </row>
    <row r="56" spans="1:1" ht="15" customHeight="1"/>
    <row r="57" spans="1:1" ht="15" customHeight="1"/>
    <row r="58" spans="1:1" ht="15" customHeight="1"/>
    <row r="59" spans="1:1" ht="15" customHeight="1"/>
    <row r="60" spans="1:1" ht="15" customHeight="1"/>
    <row r="61" spans="1:1" ht="15" customHeight="1"/>
    <row r="62" spans="1:1" ht="15" customHeight="1"/>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T30"/>
  <sheetViews>
    <sheetView workbookViewId="0">
      <selection activeCell="A2" sqref="A2"/>
    </sheetView>
  </sheetViews>
  <sheetFormatPr defaultRowHeight="14.5"/>
  <cols>
    <col min="1" max="6" width="8.6328125" customWidth="1"/>
    <col min="7" max="8" width="10.6328125" customWidth="1"/>
    <col min="9" max="11" width="8.6328125" customWidth="1"/>
    <col min="12" max="12" width="10.6328125" customWidth="1"/>
    <col min="13" max="15" width="8.6328125" customWidth="1"/>
    <col min="16" max="16" width="12.6328125" customWidth="1"/>
    <col min="17" max="30" width="8.6328125" customWidth="1"/>
    <col min="31" max="32" width="7.6328125" customWidth="1"/>
    <col min="33" max="35" width="6.6328125" customWidth="1"/>
    <col min="36" max="36" width="6.81640625" customWidth="1"/>
  </cols>
  <sheetData>
    <row r="1" spans="1:20" ht="25" customHeight="1">
      <c r="A1" s="59" t="s">
        <v>279</v>
      </c>
    </row>
    <row r="2" spans="1:20" ht="15" customHeight="1">
      <c r="A2" s="7"/>
    </row>
    <row r="3" spans="1:20" ht="15" customHeight="1">
      <c r="A3" s="5" t="s">
        <v>273</v>
      </c>
    </row>
    <row r="4" spans="1:20" ht="15" customHeight="1">
      <c r="A4" s="7"/>
    </row>
    <row r="5" spans="1:20" ht="25" customHeight="1">
      <c r="A5" s="125"/>
      <c r="B5" s="138" t="s">
        <v>111</v>
      </c>
      <c r="C5" s="138"/>
      <c r="D5" s="138"/>
      <c r="E5" s="138"/>
      <c r="F5" s="138"/>
      <c r="G5" s="126" t="s">
        <v>207</v>
      </c>
      <c r="H5" s="138" t="s">
        <v>218</v>
      </c>
      <c r="I5" s="138"/>
      <c r="J5" s="138"/>
      <c r="K5" s="10" t="s">
        <v>106</v>
      </c>
      <c r="L5" s="138" t="s">
        <v>212</v>
      </c>
      <c r="M5" s="138"/>
      <c r="N5" s="138"/>
      <c r="O5" s="138"/>
      <c r="P5" s="112" t="s">
        <v>215</v>
      </c>
      <c r="Q5" s="128"/>
      <c r="R5" s="128"/>
    </row>
    <row r="6" spans="1:20" ht="15" customHeight="1">
      <c r="A6" s="68"/>
      <c r="B6" s="68" t="s">
        <v>208</v>
      </c>
      <c r="C6" s="68" t="s">
        <v>109</v>
      </c>
      <c r="D6" s="68" t="s">
        <v>108</v>
      </c>
      <c r="E6" s="68" t="s">
        <v>210</v>
      </c>
      <c r="F6" s="68"/>
      <c r="G6" s="68" t="s">
        <v>81</v>
      </c>
      <c r="H6" s="68" t="s">
        <v>14</v>
      </c>
      <c r="I6" s="68" t="s">
        <v>20</v>
      </c>
      <c r="J6" s="68"/>
      <c r="K6" s="68"/>
      <c r="L6" s="68" t="s">
        <v>14</v>
      </c>
      <c r="M6" s="68" t="s">
        <v>20</v>
      </c>
      <c r="N6" s="135" t="s">
        <v>227</v>
      </c>
      <c r="O6" s="135"/>
      <c r="P6" s="68" t="s">
        <v>213</v>
      </c>
      <c r="Q6" s="68"/>
      <c r="R6" s="68"/>
    </row>
    <row r="7" spans="1:20" ht="15" customHeight="1">
      <c r="A7" s="39" t="s">
        <v>12</v>
      </c>
      <c r="B7" s="39" t="s">
        <v>110</v>
      </c>
      <c r="C7" s="39" t="s">
        <v>209</v>
      </c>
      <c r="D7" s="39" t="s">
        <v>209</v>
      </c>
      <c r="E7" s="39" t="s">
        <v>23</v>
      </c>
      <c r="F7" s="39" t="s">
        <v>211</v>
      </c>
      <c r="G7" s="39" t="s">
        <v>23</v>
      </c>
      <c r="H7" s="39" t="s">
        <v>23</v>
      </c>
      <c r="I7" s="39" t="s">
        <v>23</v>
      </c>
      <c r="J7" s="39" t="s">
        <v>226</v>
      </c>
      <c r="K7" s="39" t="s">
        <v>226</v>
      </c>
      <c r="L7" s="39" t="s">
        <v>23</v>
      </c>
      <c r="M7" s="39" t="s">
        <v>23</v>
      </c>
      <c r="N7" s="111">
        <v>1</v>
      </c>
      <c r="O7" s="39" t="s">
        <v>67</v>
      </c>
      <c r="P7" s="39" t="s">
        <v>23</v>
      </c>
      <c r="Q7" s="39" t="s">
        <v>12</v>
      </c>
      <c r="R7" s="39"/>
    </row>
    <row r="8" spans="1:20" ht="15" customHeight="1">
      <c r="A8" s="1" t="s">
        <v>0</v>
      </c>
      <c r="B8" s="1">
        <v>175</v>
      </c>
      <c r="C8" s="1">
        <v>1275</v>
      </c>
      <c r="D8" s="1">
        <v>0</v>
      </c>
      <c r="E8" s="114">
        <v>13</v>
      </c>
      <c r="F8" s="98">
        <v>1</v>
      </c>
      <c r="G8">
        <f>'Pred Prod'!B14</f>
        <v>444</v>
      </c>
      <c r="H8">
        <v>231</v>
      </c>
      <c r="I8">
        <v>535</v>
      </c>
      <c r="J8">
        <f t="shared" ref="J8:J19" si="0">IF(H8="","",H8-I8)</f>
        <v>-304</v>
      </c>
      <c r="K8">
        <v>-307</v>
      </c>
      <c r="L8" s="2">
        <f t="shared" ref="L8:L19" si="1">H8*E8/100</f>
        <v>30.03</v>
      </c>
      <c r="M8" s="2">
        <f t="shared" ref="M8:M19" si="2">I8*E8/100</f>
        <v>69.55</v>
      </c>
      <c r="N8" s="2">
        <f t="shared" ref="N8:N19" si="3">L8-M8</f>
        <v>-39.519999999999996</v>
      </c>
      <c r="O8" s="2">
        <f t="shared" ref="O8:O19" si="4">IF(J8="","",IF(J8&lt;0,(J8*E8/100),J8*E8*F8/100))</f>
        <v>-39.520000000000003</v>
      </c>
      <c r="P8" s="1" t="s">
        <v>271</v>
      </c>
      <c r="Q8" s="1" t="str">
        <f>A8</f>
        <v>Jan</v>
      </c>
    </row>
    <row r="9" spans="1:20" ht="15" customHeight="1">
      <c r="A9" s="1" t="s">
        <v>1</v>
      </c>
      <c r="B9" s="1">
        <v>142</v>
      </c>
      <c r="C9" s="124">
        <v>974</v>
      </c>
      <c r="D9" s="1">
        <v>0</v>
      </c>
      <c r="E9" s="114">
        <v>13</v>
      </c>
      <c r="F9" s="98">
        <v>1</v>
      </c>
      <c r="G9">
        <f>'Pred Prod'!B15</f>
        <v>553</v>
      </c>
      <c r="H9">
        <v>392</v>
      </c>
      <c r="I9">
        <v>416</v>
      </c>
      <c r="J9">
        <f t="shared" si="0"/>
        <v>-24</v>
      </c>
      <c r="K9">
        <v>-25</v>
      </c>
      <c r="L9" s="2">
        <f t="shared" si="1"/>
        <v>50.96</v>
      </c>
      <c r="M9" s="2">
        <f t="shared" si="2"/>
        <v>54.08</v>
      </c>
      <c r="N9" s="2">
        <f t="shared" si="3"/>
        <v>-3.1199999999999974</v>
      </c>
      <c r="O9" s="2">
        <f t="shared" si="4"/>
        <v>-3.12</v>
      </c>
      <c r="P9" s="1" t="s">
        <v>272</v>
      </c>
      <c r="Q9" s="1" t="s">
        <v>1</v>
      </c>
    </row>
    <row r="10" spans="1:20" ht="15" customHeight="1">
      <c r="A10" s="1" t="s">
        <v>2</v>
      </c>
      <c r="B10" s="1">
        <v>62</v>
      </c>
      <c r="C10" s="124">
        <v>640</v>
      </c>
      <c r="D10" s="1">
        <v>0</v>
      </c>
      <c r="E10" s="114">
        <v>13</v>
      </c>
      <c r="F10" s="98">
        <v>1</v>
      </c>
      <c r="G10">
        <f>'Pred Prod'!B16</f>
        <v>797</v>
      </c>
      <c r="H10">
        <v>821</v>
      </c>
      <c r="I10">
        <v>427</v>
      </c>
      <c r="J10">
        <f t="shared" si="0"/>
        <v>394</v>
      </c>
      <c r="K10">
        <v>394</v>
      </c>
      <c r="L10" s="2">
        <f t="shared" si="1"/>
        <v>106.73</v>
      </c>
      <c r="M10" s="2">
        <f t="shared" si="2"/>
        <v>55.51</v>
      </c>
      <c r="N10" s="2">
        <f t="shared" si="3"/>
        <v>51.220000000000006</v>
      </c>
      <c r="O10" s="2">
        <f t="shared" si="4"/>
        <v>51.22</v>
      </c>
      <c r="P10" s="1" t="s">
        <v>282</v>
      </c>
      <c r="Q10" s="1" t="s">
        <v>2</v>
      </c>
    </row>
    <row r="11" spans="1:20" ht="15" customHeight="1">
      <c r="A11" s="1" t="s">
        <v>3</v>
      </c>
      <c r="B11" s="1"/>
      <c r="C11" s="124"/>
      <c r="E11" s="114"/>
      <c r="F11" s="98">
        <v>1</v>
      </c>
      <c r="G11">
        <f>'Pred Prod'!B17</f>
        <v>921</v>
      </c>
      <c r="J11" t="str">
        <f t="shared" si="0"/>
        <v/>
      </c>
      <c r="L11" s="2">
        <f t="shared" si="1"/>
        <v>0</v>
      </c>
      <c r="M11" s="2">
        <f t="shared" si="2"/>
        <v>0</v>
      </c>
      <c r="N11" s="2">
        <f t="shared" si="3"/>
        <v>0</v>
      </c>
      <c r="O11" s="2" t="str">
        <f t="shared" si="4"/>
        <v/>
      </c>
      <c r="P11" s="1"/>
      <c r="Q11" s="1" t="str">
        <f t="shared" ref="Q11:Q19" si="5">A11</f>
        <v>Apr</v>
      </c>
    </row>
    <row r="12" spans="1:20" ht="15" customHeight="1">
      <c r="A12" s="1" t="s">
        <v>4</v>
      </c>
      <c r="B12" s="1"/>
      <c r="C12" s="1"/>
      <c r="E12" s="114"/>
      <c r="F12" s="98">
        <v>1</v>
      </c>
      <c r="G12">
        <f>'Pred Prod'!B18</f>
        <v>1026</v>
      </c>
      <c r="J12" t="str">
        <f t="shared" si="0"/>
        <v/>
      </c>
      <c r="L12" s="2">
        <f t="shared" si="1"/>
        <v>0</v>
      </c>
      <c r="M12" s="2">
        <f t="shared" si="2"/>
        <v>0</v>
      </c>
      <c r="N12" s="2">
        <f t="shared" si="3"/>
        <v>0</v>
      </c>
      <c r="O12" s="2" t="str">
        <f t="shared" si="4"/>
        <v/>
      </c>
      <c r="P12" s="1"/>
      <c r="Q12" s="1" t="str">
        <f t="shared" si="5"/>
        <v>May</v>
      </c>
    </row>
    <row r="13" spans="1:20" ht="15" customHeight="1">
      <c r="A13" s="1" t="s">
        <v>5</v>
      </c>
      <c r="B13" s="1"/>
      <c r="C13" s="1"/>
      <c r="E13" s="114"/>
      <c r="F13" s="98">
        <v>1</v>
      </c>
      <c r="G13">
        <f>'Pred Prod'!B19</f>
        <v>1073</v>
      </c>
      <c r="J13" t="str">
        <f t="shared" si="0"/>
        <v/>
      </c>
      <c r="L13" s="2">
        <f t="shared" si="1"/>
        <v>0</v>
      </c>
      <c r="M13" s="2">
        <f t="shared" si="2"/>
        <v>0</v>
      </c>
      <c r="N13" s="2">
        <f t="shared" si="3"/>
        <v>0</v>
      </c>
      <c r="O13" s="2" t="str">
        <f t="shared" si="4"/>
        <v/>
      </c>
      <c r="P13" s="1"/>
      <c r="Q13" s="1" t="str">
        <f t="shared" si="5"/>
        <v>Jun</v>
      </c>
    </row>
    <row r="14" spans="1:20" ht="15" customHeight="1">
      <c r="A14" s="1" t="s">
        <v>6</v>
      </c>
      <c r="B14" s="1"/>
      <c r="C14" s="1"/>
      <c r="E14" s="114"/>
      <c r="F14" s="98">
        <v>1</v>
      </c>
      <c r="G14">
        <f>'Pred Prod'!B20</f>
        <v>1009</v>
      </c>
      <c r="J14" t="str">
        <f t="shared" si="0"/>
        <v/>
      </c>
      <c r="L14" s="2">
        <f t="shared" si="1"/>
        <v>0</v>
      </c>
      <c r="M14" s="2">
        <f t="shared" si="2"/>
        <v>0</v>
      </c>
      <c r="N14" s="2">
        <f t="shared" si="3"/>
        <v>0</v>
      </c>
      <c r="O14" s="2" t="str">
        <f t="shared" si="4"/>
        <v/>
      </c>
      <c r="P14" s="1"/>
      <c r="Q14" s="1" t="str">
        <f t="shared" si="5"/>
        <v>Jul</v>
      </c>
      <c r="T14" s="2"/>
    </row>
    <row r="15" spans="1:20" ht="15" customHeight="1">
      <c r="A15" s="1" t="s">
        <v>7</v>
      </c>
      <c r="B15" s="1"/>
      <c r="C15" s="1"/>
      <c r="E15" s="114"/>
      <c r="F15" s="98">
        <v>1</v>
      </c>
      <c r="G15">
        <f>'Pred Prod'!B21</f>
        <v>956</v>
      </c>
      <c r="J15" t="str">
        <f t="shared" si="0"/>
        <v/>
      </c>
      <c r="L15" s="2">
        <f t="shared" si="1"/>
        <v>0</v>
      </c>
      <c r="M15" s="2">
        <f t="shared" si="2"/>
        <v>0</v>
      </c>
      <c r="N15" s="2">
        <f t="shared" si="3"/>
        <v>0</v>
      </c>
      <c r="O15" s="2" t="str">
        <f t="shared" si="4"/>
        <v/>
      </c>
      <c r="P15" s="1"/>
      <c r="Q15" s="1" t="str">
        <f t="shared" si="5"/>
        <v>Aug</v>
      </c>
    </row>
    <row r="16" spans="1:20" ht="15" customHeight="1">
      <c r="A16" s="1" t="s">
        <v>8</v>
      </c>
      <c r="B16" s="1"/>
      <c r="C16" s="1"/>
      <c r="D16" s="1"/>
      <c r="E16" s="114"/>
      <c r="F16" s="98">
        <v>1</v>
      </c>
      <c r="G16">
        <f>'Pred Prod'!B22</f>
        <v>812</v>
      </c>
      <c r="J16" t="str">
        <f t="shared" si="0"/>
        <v/>
      </c>
      <c r="L16" s="2">
        <f t="shared" si="1"/>
        <v>0</v>
      </c>
      <c r="M16" s="2">
        <f t="shared" si="2"/>
        <v>0</v>
      </c>
      <c r="N16" s="2">
        <f t="shared" si="3"/>
        <v>0</v>
      </c>
      <c r="O16" s="2" t="str">
        <f t="shared" si="4"/>
        <v/>
      </c>
      <c r="P16" s="1"/>
      <c r="Q16" s="1" t="str">
        <f t="shared" si="5"/>
        <v>Sep</v>
      </c>
    </row>
    <row r="17" spans="1:17" ht="15" customHeight="1">
      <c r="A17" s="1" t="s">
        <v>9</v>
      </c>
      <c r="B17" s="1"/>
      <c r="C17" s="124"/>
      <c r="D17" s="1"/>
      <c r="E17" s="114"/>
      <c r="F17" s="98">
        <v>1</v>
      </c>
      <c r="G17">
        <f>'Pred Prod'!B23</f>
        <v>620</v>
      </c>
      <c r="J17" t="str">
        <f t="shared" si="0"/>
        <v/>
      </c>
      <c r="L17" s="2">
        <f t="shared" si="1"/>
        <v>0</v>
      </c>
      <c r="M17" s="2">
        <f t="shared" si="2"/>
        <v>0</v>
      </c>
      <c r="N17" s="2">
        <f t="shared" si="3"/>
        <v>0</v>
      </c>
      <c r="O17" s="2" t="str">
        <f t="shared" si="4"/>
        <v/>
      </c>
      <c r="P17" s="1"/>
      <c r="Q17" s="1" t="str">
        <f t="shared" si="5"/>
        <v>Oct</v>
      </c>
    </row>
    <row r="18" spans="1:17" ht="15" customHeight="1">
      <c r="A18" s="1" t="s">
        <v>10</v>
      </c>
      <c r="B18" s="1"/>
      <c r="C18" s="1"/>
      <c r="D18" s="1"/>
      <c r="E18" s="114"/>
      <c r="F18" s="98">
        <v>1</v>
      </c>
      <c r="G18">
        <f>'Pred Prod'!B24</f>
        <v>490</v>
      </c>
      <c r="J18" t="str">
        <f t="shared" si="0"/>
        <v/>
      </c>
      <c r="L18" s="2">
        <f t="shared" si="1"/>
        <v>0</v>
      </c>
      <c r="M18" s="2">
        <f t="shared" si="2"/>
        <v>0</v>
      </c>
      <c r="N18" s="2">
        <f t="shared" si="3"/>
        <v>0</v>
      </c>
      <c r="O18" s="2" t="str">
        <f t="shared" si="4"/>
        <v/>
      </c>
      <c r="P18" s="1"/>
      <c r="Q18" s="1" t="str">
        <f t="shared" si="5"/>
        <v>Nov</v>
      </c>
    </row>
    <row r="19" spans="1:17" ht="15" customHeight="1">
      <c r="A19" s="12" t="s">
        <v>11</v>
      </c>
      <c r="B19" s="12"/>
      <c r="C19" s="12"/>
      <c r="D19" s="12"/>
      <c r="E19" s="115"/>
      <c r="F19" s="116">
        <v>1</v>
      </c>
      <c r="G19" s="13">
        <f>'Pred Prod'!B25</f>
        <v>416</v>
      </c>
      <c r="H19" s="12"/>
      <c r="I19" s="13"/>
      <c r="J19" s="13" t="str">
        <f t="shared" si="0"/>
        <v/>
      </c>
      <c r="K19" s="13"/>
      <c r="L19" s="110">
        <f t="shared" si="1"/>
        <v>0</v>
      </c>
      <c r="M19" s="110">
        <f t="shared" si="2"/>
        <v>0</v>
      </c>
      <c r="N19" s="110">
        <f t="shared" si="3"/>
        <v>0</v>
      </c>
      <c r="O19" s="110" t="str">
        <f t="shared" si="4"/>
        <v/>
      </c>
      <c r="P19" s="12"/>
      <c r="Q19" s="12" t="str">
        <f t="shared" si="5"/>
        <v>Dec</v>
      </c>
    </row>
    <row r="20" spans="1:17" ht="15" customHeight="1">
      <c r="A20" s="4" t="str">
        <f>'2024 Data'!A20</f>
        <v>ANNUAL</v>
      </c>
      <c r="B20" s="51">
        <f>SUM(B8:B19)</f>
        <v>379</v>
      </c>
      <c r="C20" s="51">
        <f>SUM(C8:C19)</f>
        <v>2889</v>
      </c>
      <c r="D20" s="51">
        <f>SUM(D8:D19)</f>
        <v>0</v>
      </c>
      <c r="E20" s="114">
        <f>100*M20/I20</f>
        <v>13</v>
      </c>
      <c r="F20" s="98">
        <v>1</v>
      </c>
      <c r="G20">
        <f>'Pred Prod'!B26</f>
        <v>9117</v>
      </c>
      <c r="H20">
        <f t="shared" ref="H20:O20" si="6">SUM(H8:H19)</f>
        <v>1444</v>
      </c>
      <c r="I20">
        <f t="shared" si="6"/>
        <v>1378</v>
      </c>
      <c r="J20">
        <f t="shared" si="6"/>
        <v>66</v>
      </c>
      <c r="K20">
        <f t="shared" si="6"/>
        <v>62</v>
      </c>
      <c r="L20" s="2">
        <f t="shared" si="6"/>
        <v>187.72000000000003</v>
      </c>
      <c r="M20" s="2">
        <f t="shared" si="6"/>
        <v>179.14</v>
      </c>
      <c r="N20" s="2">
        <f t="shared" si="6"/>
        <v>8.5800000000000125</v>
      </c>
      <c r="O20" s="2">
        <f t="shared" si="6"/>
        <v>8.5799999999999983</v>
      </c>
      <c r="P20" s="1"/>
      <c r="Q20" s="4" t="str">
        <f>'2024 Data'!A20</f>
        <v>ANNUAL</v>
      </c>
    </row>
    <row r="21" spans="1:17" ht="15" customHeight="1">
      <c r="A21" s="4"/>
      <c r="B21" s="2"/>
      <c r="C21" s="2"/>
      <c r="D21" s="2"/>
      <c r="E21" s="139" t="str">
        <f>'2024 Data'!E21</f>
        <v>^^^^Usage Average</v>
      </c>
      <c r="F21" s="139"/>
      <c r="G21">
        <f>'Pred Prod'!B28</f>
        <v>8971</v>
      </c>
      <c r="H21" s="49" t="str">
        <f>'2024 Data'!H21</f>
        <v>Tesla Annual Predicted</v>
      </c>
    </row>
    <row r="22" spans="1:17" ht="15" customHeight="1">
      <c r="A22" s="4"/>
      <c r="B22" s="2"/>
      <c r="C22" s="2"/>
      <c r="D22" s="2"/>
      <c r="E22" s="5"/>
      <c r="H22" s="49"/>
    </row>
    <row r="23" spans="1:17" ht="15" customHeight="1"/>
    <row r="24" spans="1:17" ht="15" customHeight="1">
      <c r="A24" s="103" t="s">
        <v>204</v>
      </c>
      <c r="B24" s="104" t="s">
        <v>205</v>
      </c>
      <c r="C24" s="127" t="s">
        <v>216</v>
      </c>
      <c r="D24" s="99"/>
      <c r="E24" s="99"/>
      <c r="F24" s="99"/>
      <c r="G24" s="99"/>
      <c r="H24" s="99"/>
    </row>
    <row r="25" spans="1:17" ht="15" customHeight="1"/>
    <row r="26" spans="1:17" ht="15" customHeight="1"/>
    <row r="27" spans="1:17" ht="15" customHeight="1"/>
    <row r="28" spans="1:17" ht="15" customHeight="1"/>
    <row r="29" spans="1:17" ht="15" customHeight="1"/>
    <row r="30" spans="1:17" ht="15" customHeight="1"/>
  </sheetData>
  <mergeCells count="5">
    <mergeCell ref="B5:F5"/>
    <mergeCell ref="H5:J5"/>
    <mergeCell ref="L5:O5"/>
    <mergeCell ref="N6:O6"/>
    <mergeCell ref="E21:F21"/>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dimension ref="A1:T30"/>
  <sheetViews>
    <sheetView workbookViewId="0">
      <selection activeCell="A2" sqref="A2"/>
    </sheetView>
  </sheetViews>
  <sheetFormatPr defaultRowHeight="14.5"/>
  <cols>
    <col min="1" max="6" width="8.6328125" customWidth="1"/>
    <col min="7" max="8" width="10.6328125" customWidth="1"/>
    <col min="9" max="11" width="8.6328125" customWidth="1"/>
    <col min="12" max="12" width="10.6328125" customWidth="1"/>
    <col min="13" max="15" width="8.6328125" customWidth="1"/>
    <col min="16" max="16" width="12.6328125" customWidth="1"/>
    <col min="17" max="30" width="8.6328125" customWidth="1"/>
    <col min="31" max="32" width="7.6328125" customWidth="1"/>
    <col min="33" max="35" width="6.6328125" customWidth="1"/>
    <col min="36" max="36" width="6.81640625" customWidth="1"/>
  </cols>
  <sheetData>
    <row r="1" spans="1:20" ht="25" customHeight="1">
      <c r="A1" s="59" t="s">
        <v>280</v>
      </c>
    </row>
    <row r="2" spans="1:20" ht="15" customHeight="1">
      <c r="A2" s="7"/>
    </row>
    <row r="3" spans="1:20" ht="15" customHeight="1">
      <c r="A3" s="5" t="s">
        <v>273</v>
      </c>
    </row>
    <row r="4" spans="1:20" ht="15" customHeight="1">
      <c r="A4" s="7"/>
    </row>
    <row r="5" spans="1:20" ht="25" customHeight="1">
      <c r="A5" s="125"/>
      <c r="B5" s="138" t="s">
        <v>111</v>
      </c>
      <c r="C5" s="138"/>
      <c r="D5" s="138"/>
      <c r="E5" s="138"/>
      <c r="F5" s="138"/>
      <c r="G5" s="126" t="s">
        <v>207</v>
      </c>
      <c r="H5" s="138" t="s">
        <v>218</v>
      </c>
      <c r="I5" s="138"/>
      <c r="J5" s="138"/>
      <c r="K5" s="10" t="s">
        <v>106</v>
      </c>
      <c r="L5" s="138" t="s">
        <v>212</v>
      </c>
      <c r="M5" s="138"/>
      <c r="N5" s="138"/>
      <c r="O5" s="138"/>
      <c r="P5" s="112" t="s">
        <v>215</v>
      </c>
      <c r="Q5" s="128"/>
      <c r="R5" s="128"/>
    </row>
    <row r="6" spans="1:20" ht="15" customHeight="1">
      <c r="A6" s="68"/>
      <c r="B6" s="68" t="s">
        <v>208</v>
      </c>
      <c r="C6" s="68" t="s">
        <v>109</v>
      </c>
      <c r="D6" s="68" t="s">
        <v>108</v>
      </c>
      <c r="E6" s="68" t="s">
        <v>210</v>
      </c>
      <c r="F6" s="68"/>
      <c r="G6" s="68" t="s">
        <v>81</v>
      </c>
      <c r="H6" s="68" t="s">
        <v>14</v>
      </c>
      <c r="I6" s="68" t="s">
        <v>20</v>
      </c>
      <c r="J6" s="68"/>
      <c r="K6" s="68"/>
      <c r="L6" s="68" t="s">
        <v>14</v>
      </c>
      <c r="M6" s="68" t="s">
        <v>20</v>
      </c>
      <c r="N6" s="135" t="s">
        <v>227</v>
      </c>
      <c r="O6" s="135"/>
      <c r="P6" s="68" t="s">
        <v>213</v>
      </c>
      <c r="Q6" s="68"/>
      <c r="R6" s="68"/>
    </row>
    <row r="7" spans="1:20" ht="15" customHeight="1">
      <c r="A7" s="39" t="s">
        <v>12</v>
      </c>
      <c r="B7" s="39" t="s">
        <v>110</v>
      </c>
      <c r="C7" s="39" t="s">
        <v>209</v>
      </c>
      <c r="D7" s="39" t="s">
        <v>209</v>
      </c>
      <c r="E7" s="39" t="s">
        <v>23</v>
      </c>
      <c r="F7" s="39" t="s">
        <v>211</v>
      </c>
      <c r="G7" s="39" t="s">
        <v>23</v>
      </c>
      <c r="H7" s="39" t="s">
        <v>23</v>
      </c>
      <c r="I7" s="39" t="s">
        <v>23</v>
      </c>
      <c r="J7" s="39" t="s">
        <v>226</v>
      </c>
      <c r="K7" s="39" t="s">
        <v>226</v>
      </c>
      <c r="L7" s="39" t="s">
        <v>23</v>
      </c>
      <c r="M7" s="39" t="s">
        <v>23</v>
      </c>
      <c r="N7" s="111">
        <v>1</v>
      </c>
      <c r="O7" s="39" t="s">
        <v>67</v>
      </c>
      <c r="P7" s="39" t="s">
        <v>23</v>
      </c>
      <c r="Q7" s="39" t="s">
        <v>12</v>
      </c>
      <c r="R7" s="39"/>
    </row>
    <row r="8" spans="1:20" ht="15" customHeight="1">
      <c r="A8" s="1" t="s">
        <v>0</v>
      </c>
      <c r="B8" s="1">
        <v>206</v>
      </c>
      <c r="C8" s="1">
        <v>1229</v>
      </c>
      <c r="D8" s="1">
        <v>0</v>
      </c>
      <c r="E8" s="114">
        <v>13</v>
      </c>
      <c r="F8" s="98">
        <v>1</v>
      </c>
      <c r="G8">
        <f>'Pred Prod'!B14</f>
        <v>444</v>
      </c>
      <c r="H8">
        <v>343</v>
      </c>
      <c r="I8">
        <v>539</v>
      </c>
      <c r="J8">
        <f t="shared" ref="J8:J19" si="0">IF(H8="","",H8-I8)</f>
        <v>-196</v>
      </c>
      <c r="K8">
        <v>-185</v>
      </c>
      <c r="L8" s="2">
        <f t="shared" ref="L8:L19" si="1">H8*E8/100</f>
        <v>44.59</v>
      </c>
      <c r="M8" s="2">
        <f t="shared" ref="M8:M19" si="2">I8*E8/100</f>
        <v>70.069999999999993</v>
      </c>
      <c r="N8" s="2">
        <f t="shared" ref="N8:N19" si="3">L8-M8</f>
        <v>-25.47999999999999</v>
      </c>
      <c r="O8" s="2">
        <f t="shared" ref="O8:O19" si="4">IF(J8="","",IF(J8&lt;0,(J8*E8/100),J8*E8*F8/100))</f>
        <v>-25.48</v>
      </c>
      <c r="P8" s="1" t="s">
        <v>30</v>
      </c>
      <c r="Q8" s="1" t="str">
        <f>A8</f>
        <v>Jan</v>
      </c>
    </row>
    <row r="9" spans="1:20" ht="15" customHeight="1">
      <c r="A9" s="1" t="s">
        <v>115</v>
      </c>
      <c r="B9" s="1">
        <v>87</v>
      </c>
      <c r="C9" s="124">
        <v>911</v>
      </c>
      <c r="D9" s="1">
        <v>0</v>
      </c>
      <c r="E9" s="114">
        <v>13</v>
      </c>
      <c r="F9" s="98">
        <v>1</v>
      </c>
      <c r="G9">
        <f>'Pred Prod'!B15</f>
        <v>553</v>
      </c>
      <c r="H9">
        <v>430</v>
      </c>
      <c r="I9">
        <v>376</v>
      </c>
      <c r="J9">
        <f t="shared" si="0"/>
        <v>54</v>
      </c>
      <c r="K9">
        <v>51</v>
      </c>
      <c r="L9" s="2">
        <f t="shared" si="1"/>
        <v>55.9</v>
      </c>
      <c r="M9" s="2">
        <f t="shared" si="2"/>
        <v>48.88</v>
      </c>
      <c r="N9" s="2">
        <f t="shared" si="3"/>
        <v>7.019999999999996</v>
      </c>
      <c r="O9" s="2">
        <f t="shared" si="4"/>
        <v>7.02</v>
      </c>
      <c r="P9" s="1" t="s">
        <v>31</v>
      </c>
      <c r="Q9" s="1" t="s">
        <v>115</v>
      </c>
      <c r="S9" t="s">
        <v>118</v>
      </c>
    </row>
    <row r="10" spans="1:20" ht="15" customHeight="1">
      <c r="A10" s="1" t="s">
        <v>116</v>
      </c>
      <c r="B10" s="1">
        <v>72</v>
      </c>
      <c r="C10" s="101">
        <v>811</v>
      </c>
      <c r="D10" s="1">
        <v>0</v>
      </c>
      <c r="E10" s="114">
        <v>13</v>
      </c>
      <c r="F10" s="98">
        <v>1</v>
      </c>
      <c r="G10">
        <f>'Pred Prod'!B16</f>
        <v>797</v>
      </c>
      <c r="H10">
        <v>668</v>
      </c>
      <c r="I10">
        <v>367</v>
      </c>
      <c r="J10">
        <f t="shared" si="0"/>
        <v>301</v>
      </c>
      <c r="K10">
        <v>297</v>
      </c>
      <c r="L10" s="2">
        <f t="shared" si="1"/>
        <v>86.84</v>
      </c>
      <c r="M10" s="2">
        <f t="shared" si="2"/>
        <v>47.71</v>
      </c>
      <c r="N10" s="2">
        <f t="shared" si="3"/>
        <v>39.130000000000003</v>
      </c>
      <c r="O10" s="2">
        <f t="shared" si="4"/>
        <v>39.130000000000003</v>
      </c>
      <c r="P10" s="1" t="s">
        <v>32</v>
      </c>
      <c r="Q10" s="1" t="s">
        <v>116</v>
      </c>
      <c r="S10" t="s">
        <v>141</v>
      </c>
    </row>
    <row r="11" spans="1:20" ht="15" customHeight="1">
      <c r="A11" s="1" t="s">
        <v>3</v>
      </c>
      <c r="B11" s="1">
        <v>33</v>
      </c>
      <c r="C11" s="101">
        <v>489</v>
      </c>
      <c r="D11">
        <v>0</v>
      </c>
      <c r="E11" s="114">
        <v>13</v>
      </c>
      <c r="F11" s="98">
        <v>1</v>
      </c>
      <c r="G11">
        <f>'Pred Prod'!B17</f>
        <v>921</v>
      </c>
      <c r="H11">
        <v>937</v>
      </c>
      <c r="I11">
        <v>353</v>
      </c>
      <c r="J11">
        <f t="shared" si="0"/>
        <v>584</v>
      </c>
      <c r="K11">
        <v>583</v>
      </c>
      <c r="L11" s="2">
        <f t="shared" si="1"/>
        <v>121.81</v>
      </c>
      <c r="M11" s="2">
        <f t="shared" si="2"/>
        <v>45.89</v>
      </c>
      <c r="N11" s="2">
        <f t="shared" si="3"/>
        <v>75.92</v>
      </c>
      <c r="O11" s="2">
        <f t="shared" si="4"/>
        <v>75.92</v>
      </c>
      <c r="P11" s="1" t="s">
        <v>33</v>
      </c>
      <c r="Q11" s="1" t="str">
        <f t="shared" ref="Q11:Q19" si="5">A11</f>
        <v>Apr</v>
      </c>
    </row>
    <row r="12" spans="1:20" ht="15" customHeight="1">
      <c r="A12" s="1" t="s">
        <v>4</v>
      </c>
      <c r="B12" s="1">
        <v>22</v>
      </c>
      <c r="C12" s="101">
        <v>290</v>
      </c>
      <c r="D12">
        <v>2</v>
      </c>
      <c r="E12" s="114">
        <v>13</v>
      </c>
      <c r="F12" s="98">
        <v>1</v>
      </c>
      <c r="G12">
        <f>'Pred Prod'!B18</f>
        <v>1026</v>
      </c>
      <c r="H12">
        <v>1186</v>
      </c>
      <c r="I12">
        <v>401</v>
      </c>
      <c r="J12">
        <f t="shared" si="0"/>
        <v>785</v>
      </c>
      <c r="K12">
        <v>786</v>
      </c>
      <c r="L12" s="2">
        <f t="shared" si="1"/>
        <v>154.18</v>
      </c>
      <c r="M12" s="2">
        <f t="shared" si="2"/>
        <v>52.13</v>
      </c>
      <c r="N12" s="2">
        <f t="shared" si="3"/>
        <v>102.05000000000001</v>
      </c>
      <c r="O12" s="2">
        <f t="shared" si="4"/>
        <v>102.05</v>
      </c>
      <c r="P12" s="1" t="s">
        <v>34</v>
      </c>
      <c r="Q12" s="1" t="str">
        <f t="shared" si="5"/>
        <v>May</v>
      </c>
    </row>
    <row r="13" spans="1:20" ht="15" customHeight="1">
      <c r="A13" s="1" t="s">
        <v>5</v>
      </c>
      <c r="B13" s="1">
        <v>5</v>
      </c>
      <c r="C13" s="1">
        <v>4</v>
      </c>
      <c r="D13">
        <v>214</v>
      </c>
      <c r="E13" s="114">
        <v>16</v>
      </c>
      <c r="F13" s="98">
        <v>1</v>
      </c>
      <c r="G13">
        <f>'Pred Prod'!B19</f>
        <v>1073</v>
      </c>
      <c r="H13">
        <v>1058</v>
      </c>
      <c r="I13">
        <v>709</v>
      </c>
      <c r="J13">
        <f t="shared" si="0"/>
        <v>349</v>
      </c>
      <c r="K13">
        <v>348</v>
      </c>
      <c r="L13" s="2">
        <f t="shared" si="1"/>
        <v>169.28</v>
      </c>
      <c r="M13" s="2">
        <f t="shared" si="2"/>
        <v>113.44</v>
      </c>
      <c r="N13" s="2">
        <f t="shared" si="3"/>
        <v>55.84</v>
      </c>
      <c r="O13" s="2">
        <f t="shared" si="4"/>
        <v>55.84</v>
      </c>
      <c r="P13" s="1" t="s">
        <v>35</v>
      </c>
      <c r="Q13" s="1" t="str">
        <f t="shared" si="5"/>
        <v>Jun</v>
      </c>
    </row>
    <row r="14" spans="1:20" ht="15" customHeight="1">
      <c r="A14" s="1" t="s">
        <v>6</v>
      </c>
      <c r="B14" s="1">
        <v>5</v>
      </c>
      <c r="C14" s="1">
        <v>1</v>
      </c>
      <c r="D14">
        <v>297</v>
      </c>
      <c r="E14" s="114">
        <v>16</v>
      </c>
      <c r="F14" s="98">
        <v>1</v>
      </c>
      <c r="G14">
        <f>'Pred Prod'!B20</f>
        <v>1009</v>
      </c>
      <c r="H14">
        <v>1092</v>
      </c>
      <c r="I14">
        <v>787</v>
      </c>
      <c r="J14">
        <f t="shared" si="0"/>
        <v>305</v>
      </c>
      <c r="K14">
        <v>303</v>
      </c>
      <c r="L14" s="2">
        <f t="shared" si="1"/>
        <v>174.72</v>
      </c>
      <c r="M14" s="2">
        <f t="shared" si="2"/>
        <v>125.92</v>
      </c>
      <c r="N14" s="2">
        <f t="shared" si="3"/>
        <v>48.8</v>
      </c>
      <c r="O14" s="2">
        <f t="shared" si="4"/>
        <v>48.8</v>
      </c>
      <c r="P14" s="1" t="s">
        <v>103</v>
      </c>
      <c r="Q14" s="1" t="str">
        <f t="shared" si="5"/>
        <v>Jul</v>
      </c>
      <c r="T14" s="2"/>
    </row>
    <row r="15" spans="1:20" ht="15" customHeight="1">
      <c r="A15" s="1" t="s">
        <v>7</v>
      </c>
      <c r="B15" s="1">
        <v>7</v>
      </c>
      <c r="C15" s="1">
        <v>3</v>
      </c>
      <c r="D15">
        <v>278</v>
      </c>
      <c r="E15" s="114">
        <v>16</v>
      </c>
      <c r="F15" s="98">
        <v>1</v>
      </c>
      <c r="G15">
        <f>'Pred Prod'!B21</f>
        <v>956</v>
      </c>
      <c r="H15">
        <v>904</v>
      </c>
      <c r="I15">
        <v>794</v>
      </c>
      <c r="J15">
        <f t="shared" si="0"/>
        <v>110</v>
      </c>
      <c r="K15">
        <v>108</v>
      </c>
      <c r="L15" s="2">
        <f t="shared" si="1"/>
        <v>144.63999999999999</v>
      </c>
      <c r="M15" s="2">
        <f t="shared" si="2"/>
        <v>127.04</v>
      </c>
      <c r="N15" s="2">
        <f t="shared" si="3"/>
        <v>17.59999999999998</v>
      </c>
      <c r="O15" s="2">
        <f t="shared" si="4"/>
        <v>17.600000000000001</v>
      </c>
      <c r="P15" s="1" t="s">
        <v>104</v>
      </c>
      <c r="Q15" s="1" t="str">
        <f t="shared" si="5"/>
        <v>Aug</v>
      </c>
    </row>
    <row r="16" spans="1:20" ht="15" customHeight="1">
      <c r="A16" s="1" t="s">
        <v>8</v>
      </c>
      <c r="B16" s="1">
        <v>5</v>
      </c>
      <c r="C16" s="1">
        <v>30</v>
      </c>
      <c r="D16" s="124">
        <v>128</v>
      </c>
      <c r="E16" s="114">
        <v>16</v>
      </c>
      <c r="F16" s="98">
        <v>1</v>
      </c>
      <c r="G16">
        <f>'Pred Prod'!B22</f>
        <v>812</v>
      </c>
      <c r="H16">
        <v>851</v>
      </c>
      <c r="I16">
        <v>500</v>
      </c>
      <c r="J16">
        <f t="shared" si="0"/>
        <v>351</v>
      </c>
      <c r="K16">
        <v>357</v>
      </c>
      <c r="L16" s="2">
        <f t="shared" si="1"/>
        <v>136.16</v>
      </c>
      <c r="M16" s="2">
        <f t="shared" si="2"/>
        <v>80</v>
      </c>
      <c r="N16" s="2">
        <f t="shared" si="3"/>
        <v>56.16</v>
      </c>
      <c r="O16" s="2">
        <f t="shared" si="4"/>
        <v>56.16</v>
      </c>
      <c r="P16" s="1" t="s">
        <v>194</v>
      </c>
      <c r="Q16" s="1" t="str">
        <f t="shared" si="5"/>
        <v>Sep</v>
      </c>
    </row>
    <row r="17" spans="1:17" ht="15" customHeight="1">
      <c r="A17" s="1" t="s">
        <v>9</v>
      </c>
      <c r="B17" s="1">
        <v>15</v>
      </c>
      <c r="C17" s="56">
        <v>242</v>
      </c>
      <c r="D17" s="1">
        <v>8</v>
      </c>
      <c r="E17" s="114">
        <v>13</v>
      </c>
      <c r="F17" s="98">
        <v>1</v>
      </c>
      <c r="G17">
        <f>'Pred Prod'!B23</f>
        <v>620</v>
      </c>
      <c r="H17">
        <v>646</v>
      </c>
      <c r="I17">
        <v>397</v>
      </c>
      <c r="J17">
        <f t="shared" si="0"/>
        <v>249</v>
      </c>
      <c r="K17">
        <v>247</v>
      </c>
      <c r="L17" s="2">
        <f t="shared" si="1"/>
        <v>83.98</v>
      </c>
      <c r="M17" s="2">
        <f t="shared" si="2"/>
        <v>51.61</v>
      </c>
      <c r="N17" s="2">
        <f t="shared" si="3"/>
        <v>32.370000000000005</v>
      </c>
      <c r="O17" s="2">
        <f t="shared" si="4"/>
        <v>32.369999999999997</v>
      </c>
      <c r="P17" s="1" t="s">
        <v>225</v>
      </c>
      <c r="Q17" s="1" t="str">
        <f t="shared" si="5"/>
        <v>Oct</v>
      </c>
    </row>
    <row r="18" spans="1:17" ht="15" customHeight="1">
      <c r="A18" s="1" t="s">
        <v>10</v>
      </c>
      <c r="B18" s="1">
        <v>120</v>
      </c>
      <c r="C18" s="1">
        <v>877</v>
      </c>
      <c r="D18" s="1">
        <v>0</v>
      </c>
      <c r="E18" s="114">
        <v>13</v>
      </c>
      <c r="F18" s="98">
        <v>1</v>
      </c>
      <c r="G18">
        <f>'Pred Prod'!B24</f>
        <v>490</v>
      </c>
      <c r="H18">
        <v>345</v>
      </c>
      <c r="I18">
        <v>459</v>
      </c>
      <c r="J18">
        <f t="shared" si="0"/>
        <v>-114</v>
      </c>
      <c r="K18">
        <v>-116</v>
      </c>
      <c r="L18" s="2">
        <f t="shared" si="1"/>
        <v>44.85</v>
      </c>
      <c r="M18" s="2">
        <f t="shared" si="2"/>
        <v>59.67</v>
      </c>
      <c r="N18" s="2">
        <f t="shared" si="3"/>
        <v>-14.82</v>
      </c>
      <c r="O18" s="2">
        <f t="shared" si="4"/>
        <v>-14.82</v>
      </c>
      <c r="P18" s="1" t="s">
        <v>241</v>
      </c>
      <c r="Q18" s="1" t="str">
        <f t="shared" si="5"/>
        <v>Nov</v>
      </c>
    </row>
    <row r="19" spans="1:17" ht="15" customHeight="1">
      <c r="A19" s="12" t="s">
        <v>11</v>
      </c>
      <c r="B19" s="12">
        <v>161</v>
      </c>
      <c r="C19" s="12">
        <v>896</v>
      </c>
      <c r="D19" s="12">
        <v>0</v>
      </c>
      <c r="E19" s="115">
        <v>13</v>
      </c>
      <c r="F19" s="116">
        <v>1</v>
      </c>
      <c r="G19" s="13">
        <f>'Pred Prod'!B25</f>
        <v>416</v>
      </c>
      <c r="H19" s="12">
        <v>339</v>
      </c>
      <c r="I19" s="13">
        <v>613</v>
      </c>
      <c r="J19" s="13">
        <f t="shared" si="0"/>
        <v>-274</v>
      </c>
      <c r="K19" s="13">
        <v>-273</v>
      </c>
      <c r="L19" s="110">
        <f t="shared" si="1"/>
        <v>44.07</v>
      </c>
      <c r="M19" s="110">
        <f t="shared" si="2"/>
        <v>79.69</v>
      </c>
      <c r="N19" s="110">
        <f t="shared" si="3"/>
        <v>-35.619999999999997</v>
      </c>
      <c r="O19" s="110">
        <f t="shared" si="4"/>
        <v>-35.619999999999997</v>
      </c>
      <c r="P19" s="12" t="s">
        <v>240</v>
      </c>
      <c r="Q19" s="12" t="str">
        <f t="shared" si="5"/>
        <v>Dec</v>
      </c>
    </row>
    <row r="20" spans="1:17" ht="15" customHeight="1">
      <c r="A20" s="4" t="str">
        <f>'2023 Data'!A20</f>
        <v>ANNUAL</v>
      </c>
      <c r="B20" s="51">
        <f>SUM(B8:B19)</f>
        <v>738</v>
      </c>
      <c r="C20" s="51">
        <f>SUM(C8:C19)</f>
        <v>5783</v>
      </c>
      <c r="D20" s="51">
        <f>SUM(D8:D19)</f>
        <v>927</v>
      </c>
      <c r="E20" s="114">
        <f>100*M20/I20</f>
        <v>14.329626687847497</v>
      </c>
      <c r="F20" s="98">
        <v>1</v>
      </c>
      <c r="G20">
        <f>'Pred Prod'!B26</f>
        <v>9117</v>
      </c>
      <c r="H20">
        <f t="shared" ref="H20:O20" si="6">SUM(H8:H19)</f>
        <v>8799</v>
      </c>
      <c r="I20">
        <f t="shared" si="6"/>
        <v>6295</v>
      </c>
      <c r="J20">
        <f t="shared" si="6"/>
        <v>2504</v>
      </c>
      <c r="K20">
        <f t="shared" si="6"/>
        <v>2506</v>
      </c>
      <c r="L20" s="2">
        <f t="shared" si="6"/>
        <v>1261.02</v>
      </c>
      <c r="M20" s="2">
        <f t="shared" si="6"/>
        <v>902.05</v>
      </c>
      <c r="N20" s="2">
        <f t="shared" si="6"/>
        <v>358.96999999999997</v>
      </c>
      <c r="O20" s="2">
        <f t="shared" si="6"/>
        <v>358.96999999999997</v>
      </c>
      <c r="P20" s="1" t="s">
        <v>220</v>
      </c>
      <c r="Q20" s="4" t="str">
        <f>'2023 Data'!A20</f>
        <v>ANNUAL</v>
      </c>
    </row>
    <row r="21" spans="1:17" ht="15" customHeight="1">
      <c r="A21" s="4"/>
      <c r="B21" s="2"/>
      <c r="C21" s="2"/>
      <c r="D21" s="2"/>
      <c r="E21" s="139" t="str">
        <f>'2023 Data'!E21</f>
        <v>^^^^Usage Average</v>
      </c>
      <c r="F21" s="139"/>
      <c r="G21">
        <f>'Pred Prod'!B28</f>
        <v>8971</v>
      </c>
      <c r="H21" s="49" t="str">
        <f>'2023 Data'!H21</f>
        <v>Tesla Annual Predicted</v>
      </c>
    </row>
    <row r="22" spans="1:17" ht="15" customHeight="1">
      <c r="A22" s="4"/>
      <c r="B22" s="2"/>
      <c r="C22" s="2"/>
      <c r="D22" s="2"/>
      <c r="E22" s="5"/>
      <c r="H22" s="49"/>
    </row>
    <row r="23" spans="1:17" ht="15" customHeight="1"/>
    <row r="24" spans="1:17" ht="15" customHeight="1">
      <c r="A24" s="103" t="s">
        <v>204</v>
      </c>
      <c r="B24" s="104" t="s">
        <v>205</v>
      </c>
      <c r="C24" s="127" t="s">
        <v>216</v>
      </c>
      <c r="D24" s="99"/>
      <c r="E24" s="99"/>
      <c r="F24" s="99"/>
      <c r="G24" s="99"/>
      <c r="H24" s="99"/>
    </row>
    <row r="25" spans="1:17" ht="15" customHeight="1"/>
    <row r="26" spans="1:17" ht="15" customHeight="1"/>
    <row r="27" spans="1:17" ht="15" customHeight="1"/>
    <row r="28" spans="1:17" ht="15" customHeight="1"/>
    <row r="29" spans="1:17" ht="15" customHeight="1"/>
    <row r="30" spans="1:17" ht="15" customHeight="1"/>
  </sheetData>
  <mergeCells count="5">
    <mergeCell ref="B5:F5"/>
    <mergeCell ref="H5:J5"/>
    <mergeCell ref="L5:O5"/>
    <mergeCell ref="N6:O6"/>
    <mergeCell ref="E21:F21"/>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vt:lpstr>
      <vt:lpstr>Prod &amp; Usage Graphs</vt:lpstr>
      <vt:lpstr>Utility Graphs</vt:lpstr>
      <vt:lpstr>Annual Graphs</vt:lpstr>
      <vt:lpstr>Cost &amp; Payback</vt:lpstr>
      <vt:lpstr>Pred Prod</vt:lpstr>
      <vt:lpstr>Elec &amp; Gas Data</vt:lpstr>
      <vt:lpstr>2025 Data</vt:lpstr>
      <vt:lpstr>2024 Data</vt:lpstr>
      <vt:lpstr>2023 Data</vt:lpstr>
      <vt:lpstr>2020-2023 Data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2025-04-10T18:28:51Z</dcterms:modified>
</cp:coreProperties>
</file>